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40" windowWidth="19425" windowHeight="693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calcChain.xml><?xml version="1.0" encoding="utf-8"?>
<calcChain xmlns="http://schemas.openxmlformats.org/spreadsheetml/2006/main">
  <c r="F48" i="5" l="1"/>
  <c r="E48" i="5"/>
  <c r="D48" i="5"/>
  <c r="K47" i="4"/>
  <c r="J47" i="4"/>
  <c r="I47" i="4"/>
  <c r="H45" i="3"/>
  <c r="G45" i="3"/>
  <c r="F45" i="3"/>
  <c r="E45" i="3"/>
  <c r="H31" i="3" l="1"/>
  <c r="G31" i="3"/>
  <c r="F31" i="3"/>
  <c r="E31" i="3"/>
  <c r="K33" i="4"/>
  <c r="J33" i="4"/>
  <c r="I33" i="4"/>
  <c r="E34" i="5"/>
  <c r="F33" i="5"/>
  <c r="E33" i="5"/>
  <c r="D33" i="5"/>
  <c r="K32" i="4"/>
  <c r="H30" i="3"/>
  <c r="G30" i="3"/>
  <c r="F30" i="3"/>
  <c r="E30" i="3"/>
  <c r="K28" i="4" l="1"/>
  <c r="J28" i="4"/>
  <c r="I28" i="4"/>
  <c r="H28" i="4"/>
  <c r="H26" i="3"/>
  <c r="G26" i="3"/>
  <c r="I26" i="3" s="1"/>
  <c r="E26" i="3"/>
  <c r="F26" i="3" s="1"/>
  <c r="F70" i="5" l="1"/>
  <c r="E70" i="5"/>
  <c r="G70" i="5"/>
  <c r="H70" i="5"/>
  <c r="I70" i="5"/>
  <c r="J70" i="5"/>
  <c r="K45" i="4"/>
  <c r="I45" i="4"/>
  <c r="H45" i="4"/>
  <c r="I51" i="4"/>
  <c r="H51" i="4"/>
  <c r="H49" i="3"/>
  <c r="G49" i="3"/>
  <c r="F49" i="3"/>
  <c r="E49" i="3"/>
  <c r="F45" i="5" l="1"/>
  <c r="E45" i="5"/>
  <c r="D45" i="5"/>
  <c r="K44" i="4"/>
  <c r="I44" i="4"/>
  <c r="H44" i="4"/>
  <c r="F44" i="4"/>
  <c r="H42" i="3"/>
  <c r="G42" i="3"/>
  <c r="F42" i="3"/>
  <c r="E42" i="3"/>
  <c r="F30" i="5" l="1"/>
  <c r="E30" i="5"/>
  <c r="D30" i="5"/>
  <c r="C30" i="5"/>
  <c r="H26" i="2"/>
  <c r="F23" i="3"/>
  <c r="G21" i="3"/>
  <c r="H21" i="3"/>
  <c r="H22" i="3"/>
  <c r="G22" i="3"/>
  <c r="F22" i="3"/>
  <c r="E22" i="3"/>
  <c r="K24" i="4"/>
  <c r="I24" i="4"/>
  <c r="H24" i="4"/>
  <c r="C17" i="5"/>
  <c r="I21" i="3" l="1"/>
  <c r="I12" i="3"/>
  <c r="F12" i="3"/>
  <c r="K53" i="4" l="1"/>
  <c r="I53" i="4"/>
  <c r="H51" i="3"/>
  <c r="G51" i="3"/>
  <c r="F51" i="3"/>
  <c r="E51" i="3"/>
  <c r="K19" i="4"/>
  <c r="I19" i="4"/>
  <c r="H17" i="3"/>
  <c r="G17" i="3"/>
  <c r="F17" i="3"/>
  <c r="E17" i="3"/>
  <c r="F43" i="5" l="1"/>
  <c r="E43" i="5"/>
  <c r="D43" i="5"/>
  <c r="C43" i="5"/>
  <c r="K42" i="4"/>
  <c r="J42" i="4"/>
  <c r="I42" i="4"/>
  <c r="H42" i="4"/>
  <c r="F42" i="4"/>
  <c r="H40" i="3"/>
  <c r="G40" i="3"/>
  <c r="E40" i="3"/>
  <c r="F40" i="3" s="1"/>
  <c r="D40" i="3"/>
  <c r="H59" i="3"/>
  <c r="G59" i="3"/>
  <c r="F59" i="3"/>
  <c r="E59" i="3"/>
  <c r="G27" i="3" l="1"/>
  <c r="H27" i="3"/>
  <c r="K41" i="4" l="1"/>
  <c r="J41" i="4"/>
  <c r="I41" i="4"/>
  <c r="H41" i="4"/>
  <c r="F41" i="4"/>
  <c r="H39" i="3"/>
  <c r="G39" i="3"/>
  <c r="F39" i="3"/>
  <c r="E39" i="3"/>
  <c r="K50" i="4"/>
  <c r="J50" i="4"/>
  <c r="I50" i="4"/>
  <c r="H50" i="4"/>
  <c r="H48" i="3"/>
  <c r="G48" i="3"/>
  <c r="F48" i="3"/>
  <c r="E48" i="3"/>
  <c r="C48" i="3"/>
  <c r="H20" i="3"/>
  <c r="G20" i="3"/>
  <c r="F20" i="3"/>
  <c r="E20" i="3"/>
  <c r="K22" i="4"/>
  <c r="J22" i="4"/>
  <c r="I22" i="4"/>
  <c r="F22" i="4"/>
  <c r="K7" i="4" l="1"/>
  <c r="I5" i="3"/>
  <c r="K48" i="4"/>
  <c r="K37" i="4"/>
  <c r="K62" i="4"/>
  <c r="I62" i="4"/>
  <c r="H60" i="3"/>
  <c r="G60" i="3"/>
  <c r="F60" i="3"/>
  <c r="E60" i="3"/>
  <c r="K20" i="4"/>
  <c r="J20" i="4"/>
  <c r="I20" i="4"/>
  <c r="H20" i="4"/>
  <c r="F20" i="4"/>
  <c r="H18" i="3"/>
  <c r="G18" i="3"/>
  <c r="F18" i="3"/>
  <c r="E18" i="3"/>
  <c r="K26" i="2" l="1"/>
  <c r="J26" i="2"/>
  <c r="J25" i="3"/>
  <c r="H25" i="3"/>
  <c r="G25" i="3"/>
  <c r="F25" i="3"/>
  <c r="E25" i="3"/>
  <c r="K27" i="4"/>
  <c r="I27" i="4"/>
  <c r="H27" i="4"/>
  <c r="F15" i="3"/>
  <c r="E15" i="3"/>
  <c r="K39" i="4"/>
  <c r="I39" i="4"/>
  <c r="H39" i="4"/>
  <c r="H37" i="3"/>
  <c r="G37" i="3"/>
  <c r="F37" i="3"/>
  <c r="E37" i="3"/>
  <c r="K66" i="4"/>
  <c r="I66" i="4"/>
  <c r="H64" i="3"/>
  <c r="G64" i="3"/>
  <c r="F64" i="3"/>
  <c r="E64" i="3"/>
  <c r="F65" i="3"/>
  <c r="E65" i="3"/>
  <c r="I13" i="4"/>
  <c r="F11" i="3"/>
  <c r="E11" i="3"/>
  <c r="I8" i="4"/>
  <c r="F6" i="3"/>
  <c r="E6" i="3"/>
  <c r="F29" i="3"/>
  <c r="E29" i="3"/>
  <c r="K31" i="4"/>
  <c r="F10" i="3"/>
  <c r="E10" i="3"/>
  <c r="E33" i="3"/>
  <c r="F33" i="3"/>
  <c r="K35" i="4"/>
  <c r="J35" i="4"/>
  <c r="I35" i="4"/>
  <c r="H35" i="4"/>
  <c r="F24" i="3"/>
  <c r="E24" i="3"/>
  <c r="K26" i="4"/>
  <c r="H26" i="4"/>
  <c r="I26" i="4"/>
  <c r="K23" i="4"/>
  <c r="J23" i="4"/>
  <c r="I23" i="4"/>
  <c r="H23" i="4"/>
  <c r="F21" i="3"/>
  <c r="E21" i="3"/>
  <c r="F54" i="3"/>
  <c r="E54" i="3"/>
  <c r="F4" i="3"/>
  <c r="E4" i="3"/>
  <c r="H6" i="4"/>
  <c r="I6" i="4"/>
  <c r="K6" i="4"/>
  <c r="H55" i="4"/>
  <c r="I55" i="4"/>
  <c r="K55" i="4"/>
  <c r="F53" i="3"/>
  <c r="E53" i="3"/>
  <c r="F9" i="3"/>
  <c r="E9" i="3"/>
  <c r="E7" i="3"/>
  <c r="K54" i="4"/>
  <c r="I54" i="4"/>
  <c r="H54" i="4"/>
  <c r="F52" i="3"/>
  <c r="E52" i="3"/>
  <c r="F36" i="3"/>
  <c r="E36" i="3"/>
  <c r="K52" i="4"/>
  <c r="I52" i="4"/>
  <c r="E50" i="3"/>
  <c r="F57" i="4"/>
  <c r="E57" i="4"/>
  <c r="K57" i="4"/>
  <c r="I57" i="4"/>
  <c r="H57" i="4"/>
  <c r="F58" i="3"/>
  <c r="E58" i="3"/>
  <c r="K60" i="4"/>
  <c r="K68" i="4"/>
  <c r="J68" i="4"/>
  <c r="I68" i="4"/>
  <c r="F68" i="4"/>
  <c r="K63" i="4" l="1"/>
  <c r="J63" i="4"/>
  <c r="I63" i="4"/>
  <c r="H63" i="4"/>
  <c r="F63" i="4"/>
  <c r="E63" i="4"/>
  <c r="J61" i="3"/>
  <c r="F61" i="3"/>
  <c r="E61" i="3"/>
  <c r="D61" i="3"/>
  <c r="J62" i="2"/>
  <c r="I62" i="2"/>
  <c r="H62" i="2"/>
  <c r="F62" i="2"/>
  <c r="G47" i="3"/>
  <c r="K64" i="4"/>
  <c r="J64" i="4"/>
  <c r="I64" i="4"/>
  <c r="H64" i="4"/>
  <c r="G62" i="3"/>
  <c r="H62" i="3"/>
  <c r="F62" i="3"/>
  <c r="E62" i="3"/>
  <c r="J13" i="3" l="1"/>
  <c r="H13" i="3"/>
  <c r="G13" i="3"/>
  <c r="F13" i="3"/>
  <c r="E13" i="3"/>
  <c r="K15" i="4"/>
  <c r="J15" i="4"/>
  <c r="I15" i="4"/>
  <c r="H15" i="4"/>
  <c r="E57" i="3"/>
  <c r="F57" i="3" s="1"/>
  <c r="H8" i="3" l="1"/>
  <c r="G8" i="3"/>
  <c r="F8" i="3"/>
  <c r="K10" i="4"/>
  <c r="J10" i="4"/>
  <c r="I10" i="4"/>
  <c r="H10" i="4"/>
  <c r="F10" i="4"/>
  <c r="G19" i="3"/>
  <c r="H19" i="3"/>
  <c r="E19" i="3"/>
  <c r="F19" i="3" s="1"/>
  <c r="K21" i="4"/>
  <c r="I21" i="4"/>
  <c r="K9" i="4" l="1"/>
  <c r="H4" i="3"/>
  <c r="G4" i="3"/>
  <c r="G53" i="3"/>
  <c r="H53" i="3"/>
  <c r="H52" i="3"/>
  <c r="G52" i="3"/>
  <c r="H61" i="3"/>
  <c r="G61" i="3"/>
  <c r="I11" i="4"/>
  <c r="I8" i="3"/>
  <c r="H9" i="3"/>
  <c r="G9" i="3"/>
  <c r="K46" i="4"/>
  <c r="H46" i="4"/>
  <c r="H44" i="3"/>
  <c r="G44" i="3"/>
  <c r="K38" i="4"/>
  <c r="I38" i="4"/>
  <c r="H36" i="3"/>
  <c r="G36" i="3"/>
  <c r="K67" i="4"/>
  <c r="H55" i="3"/>
  <c r="G55" i="3"/>
  <c r="H50" i="3"/>
  <c r="G50" i="3"/>
  <c r="F50" i="3"/>
  <c r="I31" i="4"/>
  <c r="H24" i="3"/>
  <c r="G24" i="3"/>
  <c r="H58" i="3"/>
  <c r="G58" i="3"/>
  <c r="H66" i="3"/>
  <c r="G66" i="3"/>
  <c r="J33" i="3"/>
  <c r="F55" i="5"/>
  <c r="E55" i="5"/>
  <c r="D55" i="5"/>
  <c r="C55" i="5"/>
  <c r="C70" i="5" s="1"/>
  <c r="E27" i="5"/>
  <c r="D61" i="5"/>
  <c r="E61" i="5" s="1"/>
  <c r="F61" i="5" s="1"/>
  <c r="E9" i="5"/>
  <c r="K8" i="4"/>
  <c r="F8" i="4"/>
  <c r="H6" i="3"/>
  <c r="G6" i="3"/>
  <c r="I6" i="3" s="1"/>
  <c r="H29" i="3"/>
  <c r="G29" i="3"/>
  <c r="F32" i="5"/>
  <c r="D32" i="5"/>
  <c r="E10" i="5"/>
  <c r="F10" i="5" s="1"/>
  <c r="J9" i="4"/>
  <c r="I9" i="4"/>
  <c r="H7" i="3"/>
  <c r="G7" i="3"/>
  <c r="F7" i="3"/>
  <c r="G65" i="3"/>
  <c r="H65" i="3"/>
  <c r="J67" i="4"/>
  <c r="I67" i="4"/>
  <c r="H67" i="4"/>
  <c r="E68" i="5"/>
  <c r="D68" i="5"/>
  <c r="I34" i="3"/>
  <c r="I35" i="3"/>
  <c r="I37" i="3"/>
  <c r="I38" i="3"/>
  <c r="I39" i="3"/>
  <c r="I40" i="3"/>
  <c r="I41" i="3"/>
  <c r="I42" i="3"/>
  <c r="I43" i="3"/>
  <c r="I45" i="3"/>
  <c r="I46" i="3"/>
  <c r="I48" i="3"/>
  <c r="I49" i="3"/>
  <c r="I51" i="3"/>
  <c r="I54" i="3"/>
  <c r="I56" i="3"/>
  <c r="I57" i="3"/>
  <c r="I59" i="3"/>
  <c r="I60" i="3"/>
  <c r="I62" i="3"/>
  <c r="I63" i="3"/>
  <c r="I64" i="3"/>
  <c r="I22" i="3"/>
  <c r="I23" i="3"/>
  <c r="I25" i="3"/>
  <c r="I27" i="3"/>
  <c r="I28" i="3"/>
  <c r="I30" i="3"/>
  <c r="I31" i="3"/>
  <c r="I32" i="3"/>
  <c r="I13" i="3"/>
  <c r="I14" i="3"/>
  <c r="I16" i="3"/>
  <c r="I17" i="3"/>
  <c r="I18" i="3"/>
  <c r="I19" i="3"/>
  <c r="I20" i="3"/>
  <c r="H15" i="3"/>
  <c r="G15" i="3"/>
  <c r="I15" i="3" s="1"/>
  <c r="K17" i="4"/>
  <c r="D13" i="5"/>
  <c r="D70" i="5" s="1"/>
  <c r="E14" i="5"/>
  <c r="F14" i="5" s="1"/>
  <c r="H11" i="3"/>
  <c r="G11" i="3"/>
  <c r="H33" i="3"/>
  <c r="G33" i="3"/>
  <c r="J12" i="4"/>
  <c r="K12" i="4" s="1"/>
  <c r="I12" i="4"/>
  <c r="H10" i="3"/>
  <c r="G10" i="3"/>
  <c r="I10" i="3" l="1"/>
  <c r="I33" i="3"/>
  <c r="I11" i="3"/>
  <c r="I65" i="3"/>
  <c r="I7" i="3"/>
  <c r="I9" i="3"/>
  <c r="I4" i="3"/>
  <c r="I36" i="3"/>
  <c r="I53" i="3"/>
  <c r="I52" i="3"/>
  <c r="I61" i="3"/>
  <c r="I44" i="3"/>
  <c r="I55" i="3"/>
  <c r="I50" i="3"/>
  <c r="I24" i="3"/>
  <c r="I58" i="3"/>
  <c r="I66" i="3"/>
  <c r="I29" i="3"/>
</calcChain>
</file>

<file path=xl/comments1.xml><?xml version="1.0" encoding="utf-8"?>
<comments xmlns="http://schemas.openxmlformats.org/spreadsheetml/2006/main">
  <authors>
    <author>Nguyen</author>
  </authors>
  <commentList>
    <comment ref="B76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Chưa xây dựng</t>
        </r>
      </text>
    </comment>
    <comment ref="D91" authorId="0">
      <text>
        <r>
          <rPr>
            <b/>
            <sz val="9"/>
            <color indexed="81"/>
            <rFont val="Tahoma"/>
            <charset val="1"/>
          </rPr>
          <t>Nguyen:</t>
        </r>
        <r>
          <rPr>
            <sz val="9"/>
            <color indexed="81"/>
            <rFont val="Tahoma"/>
            <charset val="1"/>
          </rPr>
          <t xml:space="preserve">
danh sách cụ thể k b.cáo</t>
        </r>
      </text>
    </comment>
  </commentList>
</comments>
</file>

<file path=xl/comments2.xml><?xml version="1.0" encoding="utf-8"?>
<comments xmlns="http://schemas.openxmlformats.org/spreadsheetml/2006/main">
  <authors>
    <author>YEN KHUE</author>
  </authors>
  <commentList>
    <comment ref="B59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b.c k đúng yêu cầu
</t>
        </r>
      </text>
    </comment>
  </commentList>
</comments>
</file>

<file path=xl/comments3.xml><?xml version="1.0" encoding="utf-8"?>
<comments xmlns="http://schemas.openxmlformats.org/spreadsheetml/2006/main">
  <authors>
    <author>YEN KHUE</author>
    <author>Nguyen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Lấy số liệu tập huấn cao nhất trong các năm
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Số liệu cao nhất của 1 năm
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k có số lieuj 2019, k khớp
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Số liệu k thống nhất với phụ lục 4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Số liệu tổng cộng k khớp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k khớp
</t>
        </r>
      </text>
    </comment>
    <comment ref="G24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1">
      <text>
        <r>
          <rPr>
            <b/>
            <sz val="9"/>
            <color indexed="81"/>
            <rFont val="Tahoma"/>
            <charset val="1"/>
          </rPr>
          <t>Nguyen:</t>
        </r>
        <r>
          <rPr>
            <sz val="9"/>
            <color indexed="81"/>
            <rFont val="Tahoma"/>
            <charset val="1"/>
          </rPr>
          <t xml:space="preserve">
k có 2019, tính đến 6 tháng đầu năm 2022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Số liệu k khớp
</t>
        </r>
      </text>
    </comment>
    <comment ref="G44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0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số k khớp 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7" authorId="1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k báo cáo số liệu</t>
        </r>
      </text>
    </comment>
    <comment ref="G58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k có 2022, k khớp
</t>
        </r>
      </text>
    </comment>
    <comment ref="G66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YEN KHUE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Số liệu k hợp lý: 3 cuộc cho 12.125 người
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YEN KHUE:</t>
        </r>
        <r>
          <rPr>
            <sz val="9"/>
            <color indexed="81"/>
            <rFont val="Tahoma"/>
            <family val="2"/>
          </rPr>
          <t xml:space="preserve">
2021 tập huấn trực tuyến 100% THG
</t>
        </r>
      </text>
    </comment>
    <comment ref="K35" authorId="0">
      <text>
        <r>
          <rPr>
            <b/>
            <sz val="9"/>
            <color indexed="81"/>
            <rFont val="Tahoma"/>
            <charset val="1"/>
          </rPr>
          <t>YEN KHUE:</t>
        </r>
        <r>
          <rPr>
            <sz val="9"/>
            <color indexed="81"/>
            <rFont val="Tahoma"/>
            <charset val="1"/>
          </rPr>
          <t xml:space="preserve">
Số liệu k châunr, quá ảo, điều chỉnh giảm theo số HGV
</t>
        </r>
      </text>
    </comment>
  </commentList>
</comments>
</file>

<file path=xl/comments5.xml><?xml version="1.0" encoding="utf-8"?>
<comments xmlns="http://schemas.openxmlformats.org/spreadsheetml/2006/main">
  <authors>
    <author>Nguyen</author>
  </authors>
  <commentList>
    <comment ref="B59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đợi kiện toàn chức danh sẽ ra qđ</t>
        </r>
      </text>
    </comment>
  </commentList>
</comments>
</file>

<file path=xl/sharedStrings.xml><?xml version="1.0" encoding="utf-8"?>
<sst xmlns="http://schemas.openxmlformats.org/spreadsheetml/2006/main" count="611" uniqueCount="151">
  <si>
    <t>STT</t>
  </si>
  <si>
    <t>Tỉnh, 
thành phố</t>
  </si>
  <si>
    <t>A</t>
  </si>
  <si>
    <t>B</t>
  </si>
  <si>
    <t>Tổng số cả nước</t>
  </si>
  <si>
    <t>An Giang</t>
  </si>
  <si>
    <t>Bà Rịa – Vũng Tàu</t>
  </si>
  <si>
    <t>Bắc Giang</t>
  </si>
  <si>
    <t>Bắc Kạn</t>
  </si>
  <si>
    <t>Bạc Liêu</t>
  </si>
  <si>
    <t>Bắc Ninh</t>
  </si>
  <si>
    <t>Bến Tre</t>
  </si>
  <si>
    <t>Bình Định</t>
  </si>
  <si>
    <t>Bình Dương</t>
  </si>
  <si>
    <t>Bình Thuận</t>
  </si>
  <si>
    <t>Cà Mau</t>
  </si>
  <si>
    <t>Cần Thơ</t>
  </si>
  <si>
    <t>Cao Bằng</t>
  </si>
  <si>
    <t>Đà Nẵng</t>
  </si>
  <si>
    <t>Đắk Lắk</t>
  </si>
  <si>
    <t>Đắk Nông</t>
  </si>
  <si>
    <t>Điện Biên</t>
  </si>
  <si>
    <t>Đồng Nai</t>
  </si>
  <si>
    <t>Đồng Tháp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</si>
  <si>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</si>
  <si>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</si>
  <si>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</si>
  <si>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</si>
  <si>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</si>
  <si>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</si>
  <si>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</si>
  <si>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 xml:space="preserve">Hậu Giang </t>
  </si>
  <si>
    <t>Hòa Bình</t>
  </si>
  <si>
    <t>Hưng Yên</t>
  </si>
  <si>
    <t>Khánh Hòa</t>
  </si>
  <si>
    <t>Kiên Giang</t>
  </si>
  <si>
    <t>Kon Tum</t>
  </si>
  <si>
    <t>Lai Châu</t>
  </si>
  <si>
    <t>Lâm Đồng</t>
  </si>
  <si>
    <t>Lạng Sơn</t>
  </si>
  <si>
    <t>Lào Cai</t>
  </si>
  <si>
    <t xml:space="preserve">Long An </t>
  </si>
  <si>
    <t>Nam Định</t>
  </si>
  <si>
    <t>Nghệ An</t>
  </si>
  <si>
    <t>Ninh Bình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</si>
  <si>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</si>
  <si>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</si>
  <si>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</si>
  <si>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</si>
  <si>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</si>
  <si>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</si>
  <si>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</si>
  <si>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</si>
  <si>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</si>
  <si>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</si>
  <si>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</si>
  <si>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</si>
  <si>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Thái Nguyên</t>
  </si>
  <si>
    <t>Thanh  Hóa</t>
  </si>
  <si>
    <t>Thừa Thiên Huế</t>
  </si>
  <si>
    <t>Tiền Giang</t>
  </si>
  <si>
    <t>Tp. Hồ Chí Minh</t>
  </si>
  <si>
    <t>Trà Vinh</t>
  </si>
  <si>
    <t>Tuyên Quang</t>
  </si>
  <si>
    <t>Vĩnh Long</t>
  </si>
  <si>
    <t>Vĩnh Phúc</t>
  </si>
  <si>
    <t>Yên Bái</t>
  </si>
  <si>
    <t xml:space="preserve"> </t>
  </si>
  <si>
    <t>Phụ lục</t>
  </si>
  <si>
    <r>
      <t xml:space="preserve">CÁC BIỂU MẪU THỐNG KÊ SỐ LIỆU TỔNG KẾT
Đề án "Nâng cao năng lực đội ngũ hòa giải viên ở cơ sở giai đoạn 2019-2022" ban hành tại Quyết định số 428/QĐ-TTg ngày 19/4/2019 của Thủ tướng Chính phủ
</t>
    </r>
    <r>
      <rPr>
        <i/>
        <sz val="13"/>
        <color theme="1"/>
        <rFont val="Times New Roman"/>
        <family val="1"/>
      </rPr>
      <t>(Kèm theo Báo cáo số     /BC-BTP ngày    /12/2022 của Bộ Tư pháp)</t>
    </r>
  </si>
  <si>
    <t>Phụ lục 1. Ban hành văn bản chỉ đạo, hướng dẫn thực hiện Đề án</t>
  </si>
  <si>
    <t>Phụ lục 2. Số liệu về tập huấn viên và kết quả hoạt động của tập huấn viên</t>
  </si>
  <si>
    <t>Tổng số</t>
  </si>
  <si>
    <t>Số lượng được tập huấn, bồi dưỡng</t>
  </si>
  <si>
    <t>Số lượng được cấp phát tài liệu</t>
  </si>
  <si>
    <t>Số người đã thực hiện tập huấn cho THV cấp huyện</t>
  </si>
  <si>
    <t>Số người đã thực hiện bồi dưỡng cho HGV</t>
  </si>
  <si>
    <t>Tập huấn viên cấp tỉnh</t>
  </si>
  <si>
    <t>Tập huấn viên cấp huyện</t>
  </si>
  <si>
    <t>Văn bản hướng dẫn, chỉ đạo</t>
  </si>
  <si>
    <t>Loại văn bản</t>
  </si>
  <si>
    <t>Số lượng</t>
  </si>
  <si>
    <t>Số tổ hòa giải</t>
  </si>
  <si>
    <t>Số hòa giải viên</t>
  </si>
  <si>
    <t>Số vụ, việc hòa giải thành</t>
  </si>
  <si>
    <t>Số vụ, việc hòa giải không thành</t>
  </si>
  <si>
    <t>Số vụ, việc được Tòa án ra quyết định công nhận</t>
  </si>
  <si>
    <t>Hòa giải viên</t>
  </si>
  <si>
    <t>Kết quả hòa giải</t>
  </si>
  <si>
    <t>Phụ lục 4. Số liệu kết quả hoạt động của các cơ quan quản lý nhà nước</t>
  </si>
  <si>
    <t>Mô hình THG hiệu quả ở địa phương</t>
  </si>
  <si>
    <t>Hình thức tổ chức</t>
  </si>
  <si>
    <t>Số cuộc tập huấn</t>
  </si>
  <si>
    <t>Số lượt tham dự</t>
  </si>
  <si>
    <t>Cho THV</t>
  </si>
  <si>
    <t>Cho HGV</t>
  </si>
  <si>
    <t>Tổ chức nâng cao năng lực cho THV cấp huyện</t>
  </si>
  <si>
    <t>Tổ chức nâng cao năng lực cho HGV</t>
  </si>
  <si>
    <t>Biên soạn, phát hành tài liệu bồi dưỡng nghiệp vụ; tài liệu hỗ trợ, tham khảo</t>
  </si>
  <si>
    <t>Phụ lục 5. Kinh phí thực hiện Đề án</t>
  </si>
  <si>
    <t xml:space="preserve"> Kinh phí thực hiện Đề án</t>
  </si>
  <si>
    <t>Nguồn NSNN</t>
  </si>
  <si>
    <t>Nguồn khác</t>
  </si>
  <si>
    <t>Số TT</t>
  </si>
  <si>
    <t>Năm 2019</t>
  </si>
  <si>
    <t>Năm 2020</t>
  </si>
  <si>
    <t>Năm 2021</t>
  </si>
  <si>
    <t>Năm 2022</t>
  </si>
  <si>
    <t>Tỉnh, thành phố</t>
  </si>
  <si>
    <t>Bà Rịa - Vũng Tàu</t>
  </si>
  <si>
    <t xml:space="preserve">Kế hoạch </t>
  </si>
  <si>
    <t>Công văn chỉ đạo, hướng dẫn</t>
  </si>
  <si>
    <t xml:space="preserve">Quyết định </t>
  </si>
  <si>
    <t>Phụ lục 3. Số liệu về hòa giải viên và kết quả hòa giải (từ năm 2019 đến năm 2022)</t>
  </si>
  <si>
    <t>Tập huấn</t>
  </si>
  <si>
    <t>Tập huấn trực tiếp và trực tuyến</t>
  </si>
  <si>
    <t>Phụ nữ tham gia hòa giải ở cơ sở; Hội Cựu chiến binh thành lập tổ hòa giải, tổ tự quản an ninh nhân dân</t>
  </si>
  <si>
    <t>Tập huấn, bồi dưỡng</t>
  </si>
  <si>
    <t>Tập huấn, Thi HGV giỏi 2019</t>
  </si>
  <si>
    <t>Đơn vị tính:  đồng</t>
  </si>
  <si>
    <t>Tổ hòa giải cơ sở 5 tốt</t>
  </si>
  <si>
    <t>Tập huấn, thi tìm hiểu pháp luật hòa giải</t>
  </si>
  <si>
    <t>Quyết định</t>
  </si>
  <si>
    <t>Tổ hòa giải điểm</t>
  </si>
  <si>
    <t>Chỉ thị thường vụ tỉnh ủy</t>
  </si>
  <si>
    <t>Tập huấn, Cuộc thi viết, Hội thi</t>
  </si>
  <si>
    <t xml:space="preserve"> Tập huấn</t>
  </si>
  <si>
    <t xml:space="preserve">Tập huấn </t>
  </si>
  <si>
    <t>Bí thư chi bộ ấp, khóm đồng thời là tổ trưởng THG</t>
  </si>
  <si>
    <t>Tổ hòa giải tiêu biểu xuất sắc; tổ hòa giải điển hình; tổ hòa giải điển hình tiên tiến; tổ hòa giải 02 không 3 có; tổ hòa giải 05 không; tổ hòa giải hai tốt; tổ hòa giải bốn tốt; tổ hòa giải ba tốt</t>
  </si>
  <si>
    <t>Bình Phước</t>
  </si>
  <si>
    <t>Số lượt HGV được cấp phát tài liệu</t>
  </si>
  <si>
    <t>Số lượt HGV được tập huấn</t>
  </si>
  <si>
    <t>tập huấn</t>
  </si>
  <si>
    <t>Giải pháp nâng cao hiệu quả công tác hòa giải ở cơ sở</t>
  </si>
  <si>
    <t>Tập huân</t>
  </si>
  <si>
    <t xml:space="preserve">Mô hình “Phát động thi đua Tổ hòa giải cơ sở kiểu mẫu 100 điểm”.
- Mô hình hòa giải 3T “Tuyên truyền - Thuyết phục- Thành quả”.
- Mô hình hòa giải 3 Ph “Phát hiện- phối hợp- phổ biến ”.
</t>
  </si>
  <si>
    <t>Chương trình</t>
  </si>
  <si>
    <t>Văn bản khác</t>
  </si>
  <si>
    <t>Mô hình "Tổ hòa giải cơ sở kiểu mẫu"</t>
  </si>
  <si>
    <t>Giai đoạn 2019-2022, tỉnh bố trí 900.000.000 đồng</t>
  </si>
  <si>
    <t>Cấp tỉnh: 1,021,600,000 đ; huyện 1,191,610,000đ; xã 795,860,000đ</t>
  </si>
  <si>
    <t>2.071.869.000 đồng</t>
  </si>
  <si>
    <t>Tập huấn, cấp phát tài liệu</t>
  </si>
  <si>
    <t>Tổ hòa giải điển hình tiên tiến</t>
  </si>
  <si>
    <t>Chỉ thị của Ủy ban nhân dân tỉnh</t>
  </si>
  <si>
    <t>Nghị quyết Hội đồng nhân dân tỉnh</t>
  </si>
  <si>
    <t>Tập huấn, thi viết</t>
  </si>
  <si>
    <t>Tổng số vụ, việc tiến hành hòa giải</t>
  </si>
  <si>
    <t xml:space="preserve">Tổng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</si>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</sst>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Times New Roman"/>
      <family val="1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rgb="FF00009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3"/>
      <color theme="1"/>
      <name val="Times New Roman"/>
      <family val="1"/>
    </font>
    <font>
      <sz val="12"/>
      <color theme="1"/>
      <name val="Times New Roman"/>
    </font>
    <font>
      <sz val="12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wrapText="1"/>
    </xf>
    <xf numFmtId="0" fontId="5" fillId="0" borderId="6" xfId="0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wrapText="1"/>
    </xf>
    <xf numFmtId="0" fontId="5" fillId="0" borderId="0" xfId="0" applyFont="1" applyFill="1"/>
    <xf numFmtId="0" fontId="5" fillId="0" borderId="6" xfId="0" applyFont="1" applyFill="1" applyBorder="1" applyAlignment="1">
      <alignment wrapText="1"/>
    </xf>
    <xf numFmtId="0" fontId="15" fillId="0" borderId="0" xfId="0" applyFont="1" applyFill="1"/>
    <xf numFmtId="3" fontId="1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>
      <alignment wrapText="1"/>
    </xf>
    <xf numFmtId="0" fontId="17" fillId="0" borderId="0" xfId="0" applyFont="1" applyAlignment="1">
      <alignment vertical="top" wrapText="1"/>
    </xf>
    <xf numFmtId="0" fontId="18" fillId="2" borderId="6" xfId="0" applyFont="1" applyFill="1" applyBorder="1" applyAlignment="1">
      <alignment vertical="top" wrapText="1"/>
    </xf>
    <xf numFmtId="0" fontId="1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top" wrapText="1"/>
    </xf>
    <xf numFmtId="0" fontId="20" fillId="0" borderId="6" xfId="0" applyFont="1" applyFill="1" applyBorder="1" applyAlignment="1">
      <alignment vertical="top" wrapText="1"/>
    </xf>
    <xf numFmtId="0" fontId="21" fillId="0" borderId="6" xfId="0" applyFont="1" applyFill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6" fillId="0" borderId="6" xfId="0" applyFont="1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/>
    <xf numFmtId="16" fontId="1" fillId="0" borderId="3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3" fontId="0" fillId="0" borderId="6" xfId="0" applyNumberFormat="1" applyBorder="1"/>
    <xf numFmtId="1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/>
    <xf numFmtId="1" fontId="16" fillId="0" borderId="6" xfId="0" applyNumberFormat="1" applyFont="1" applyFill="1" applyBorder="1" applyAlignment="1">
      <alignment wrapText="1"/>
    </xf>
    <xf numFmtId="1" fontId="16" fillId="2" borderId="6" xfId="0" applyNumberFormat="1" applyFont="1" applyFill="1" applyBorder="1" applyAlignment="1">
      <alignment vertical="center" wrapText="1"/>
    </xf>
    <xf numFmtId="1" fontId="0" fillId="0" borderId="6" xfId="0" applyNumberFormat="1" applyBorder="1"/>
    <xf numFmtId="3" fontId="0" fillId="0" borderId="0" xfId="0" applyNumberFormat="1"/>
    <xf numFmtId="3" fontId="0" fillId="0" borderId="5" xfId="0" applyNumberFormat="1" applyBorder="1"/>
    <xf numFmtId="0" fontId="20" fillId="0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1" fontId="1" fillId="0" borderId="6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/>
    </xf>
    <xf numFmtId="0" fontId="1" fillId="0" borderId="6" xfId="0" applyFont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wrapText="1"/>
    </xf>
    <xf numFmtId="0" fontId="19" fillId="2" borderId="6" xfId="0" applyFont="1" applyFill="1" applyBorder="1" applyAlignment="1">
      <alignment horizontal="right" vertical="center" wrapText="1"/>
    </xf>
    <xf numFmtId="16" fontId="1" fillId="0" borderId="0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3" fontId="0" fillId="3" borderId="6" xfId="0" applyNumberFormat="1" applyFill="1" applyBorder="1"/>
    <xf numFmtId="0" fontId="0" fillId="3" borderId="6" xfId="0" applyFill="1" applyBorder="1"/>
    <xf numFmtId="0" fontId="0" fillId="0" borderId="6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3" fontId="0" fillId="0" borderId="1" xfId="0" applyNumberFormat="1" applyBorder="1"/>
    <xf numFmtId="0" fontId="10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3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horizontal="center"/>
    </xf>
    <xf numFmtId="3" fontId="0" fillId="0" borderId="6" xfId="0" applyNumberFormat="1" applyFont="1" applyBorder="1"/>
    <xf numFmtId="3" fontId="0" fillId="0" borderId="4" xfId="0" applyNumberFormat="1" applyFont="1" applyFill="1" applyBorder="1"/>
    <xf numFmtId="0" fontId="0" fillId="0" borderId="6" xfId="0" applyFont="1" applyBorder="1"/>
    <xf numFmtId="3" fontId="0" fillId="0" borderId="6" xfId="0" applyNumberFormat="1" applyFont="1" applyFill="1" applyBorder="1"/>
    <xf numFmtId="3" fontId="25" fillId="0" borderId="6" xfId="0" applyNumberFormat="1" applyFont="1" applyBorder="1" applyAlignment="1">
      <alignment wrapText="1"/>
    </xf>
    <xf numFmtId="3" fontId="0" fillId="0" borderId="0" xfId="0" applyNumberFormat="1" applyFont="1"/>
    <xf numFmtId="3" fontId="26" fillId="0" borderId="6" xfId="0" applyNumberFormat="1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3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wrapText="1"/>
    </xf>
    <xf numFmtId="0" fontId="1" fillId="0" borderId="0" xfId="0" applyFont="1"/>
    <xf numFmtId="0" fontId="1" fillId="0" borderId="6" xfId="0" applyFont="1" applyBorder="1" applyAlignment="1">
      <alignment horizontal="center" wrapText="1"/>
    </xf>
    <xf numFmtId="3" fontId="1" fillId="0" borderId="6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4"/>
  <sheetViews>
    <sheetView tabSelected="1" view="pageLayout" zoomScaleNormal="100" workbookViewId="0">
      <selection activeCell="J5" sqref="J5"/>
    </sheetView>
  </sheetViews>
  <sheetFormatPr defaultColWidth="9.140625" defaultRowHeight="12.75" x14ac:dyDescent="0.2"/>
  <cols>
    <col min="1" max="1" width="4.7109375" style="5" customWidth="1"/>
    <col min="2" max="2" width="22" style="5" customWidth="1"/>
    <col min="3" max="3" width="36" style="5" customWidth="1"/>
    <col min="4" max="4" width="20.42578125" style="9" customWidth="1"/>
    <col min="5" max="5" width="18.140625" style="9" customWidth="1"/>
    <col min="6" max="16384" width="9.140625" style="9"/>
  </cols>
  <sheetData>
    <row r="1" spans="1:6" s="1" customFormat="1" ht="18.75" customHeight="1" x14ac:dyDescent="0.25">
      <c r="B1" s="138" t="s">
        <v>68</v>
      </c>
      <c r="C1" s="138"/>
      <c r="D1" s="138"/>
    </row>
    <row r="2" spans="1:6" s="3" customFormat="1" ht="51" customHeight="1" x14ac:dyDescent="0.25">
      <c r="A2" s="2"/>
      <c r="B2" s="141" t="s">
        <v>69</v>
      </c>
      <c r="C2" s="141"/>
      <c r="D2" s="141"/>
    </row>
    <row r="3" spans="1:6" s="4" customFormat="1" ht="21.75" customHeight="1" x14ac:dyDescent="0.25">
      <c r="B3" s="111" t="s">
        <v>70</v>
      </c>
      <c r="C3" s="111"/>
      <c r="D3" s="87"/>
      <c r="E3" s="87"/>
      <c r="F3" s="87"/>
    </row>
    <row r="4" spans="1:6" s="6" customFormat="1" ht="18.75" customHeight="1" x14ac:dyDescent="0.25">
      <c r="A4" s="127" t="s">
        <v>0</v>
      </c>
      <c r="B4" s="129" t="s">
        <v>1</v>
      </c>
      <c r="C4" s="139" t="s">
        <v>79</v>
      </c>
      <c r="D4" s="139"/>
      <c r="E4" s="140"/>
      <c r="F4" s="122"/>
    </row>
    <row r="5" spans="1:6" s="6" customFormat="1" ht="14.25" customHeight="1" x14ac:dyDescent="0.25">
      <c r="A5" s="128"/>
      <c r="B5" s="130"/>
      <c r="C5" s="139"/>
      <c r="D5" s="139"/>
      <c r="E5" s="140"/>
      <c r="F5" s="123"/>
    </row>
    <row r="6" spans="1:6" s="7" customFormat="1" ht="46.5" customHeight="1" x14ac:dyDescent="0.2">
      <c r="A6" s="21" t="s">
        <v>2</v>
      </c>
      <c r="B6" s="22" t="s">
        <v>3</v>
      </c>
      <c r="C6" s="22" t="s">
        <v>80</v>
      </c>
      <c r="D6" s="22" t="s">
        <v>81</v>
      </c>
      <c r="E6" s="140"/>
      <c r="F6" s="124"/>
    </row>
    <row r="7" spans="1:6" s="8" customFormat="1" ht="30" customHeight="1" x14ac:dyDescent="0.25">
      <c r="A7" s="125" t="s">
        <v>4</v>
      </c>
      <c r="B7" s="126"/>
      <c r="C7" s="23"/>
      <c r="D7" s="16"/>
      <c r="E7" s="16"/>
      <c r="F7" s="17"/>
    </row>
    <row r="8" spans="1:6" s="8" customFormat="1" ht="30" customHeight="1" x14ac:dyDescent="0.25">
      <c r="A8" s="120">
        <v>1</v>
      </c>
      <c r="B8" s="143" t="s">
        <v>5</v>
      </c>
      <c r="C8" s="67" t="s">
        <v>110</v>
      </c>
      <c r="D8" s="68">
        <v>5</v>
      </c>
      <c r="E8" s="66"/>
      <c r="F8" s="17"/>
    </row>
    <row r="9" spans="1:6" s="8" customFormat="1" ht="30" customHeight="1" x14ac:dyDescent="0.25">
      <c r="A9" s="131"/>
      <c r="B9" s="144"/>
      <c r="C9" s="67" t="s">
        <v>111</v>
      </c>
      <c r="D9" s="68">
        <v>2</v>
      </c>
      <c r="E9" s="66"/>
      <c r="F9" s="17"/>
    </row>
    <row r="10" spans="1:6" s="8" customFormat="1" ht="30" customHeight="1" x14ac:dyDescent="0.25">
      <c r="A10" s="132">
        <v>2</v>
      </c>
      <c r="B10" s="142" t="s">
        <v>6</v>
      </c>
      <c r="C10" s="67" t="s">
        <v>122</v>
      </c>
      <c r="D10" s="68">
        <v>2</v>
      </c>
      <c r="E10" s="66"/>
      <c r="F10" s="17"/>
    </row>
    <row r="11" spans="1:6" ht="27.95" customHeight="1" x14ac:dyDescent="0.25">
      <c r="A11" s="132"/>
      <c r="B11" s="142"/>
      <c r="C11" s="78" t="s">
        <v>110</v>
      </c>
      <c r="D11" s="18">
        <v>3</v>
      </c>
      <c r="E11" s="20"/>
      <c r="F11" s="19"/>
    </row>
    <row r="12" spans="1:6" ht="27.95" customHeight="1" x14ac:dyDescent="0.25">
      <c r="A12" s="120">
        <v>3</v>
      </c>
      <c r="B12" s="133" t="s">
        <v>7</v>
      </c>
      <c r="C12" s="78" t="s">
        <v>124</v>
      </c>
      <c r="D12" s="18">
        <v>1</v>
      </c>
      <c r="E12" s="20"/>
      <c r="F12" s="19"/>
    </row>
    <row r="13" spans="1:6" ht="27.95" customHeight="1" x14ac:dyDescent="0.25">
      <c r="A13" s="131"/>
      <c r="B13" s="134"/>
      <c r="C13" s="78" t="s">
        <v>110</v>
      </c>
      <c r="D13" s="18">
        <v>4</v>
      </c>
      <c r="E13" s="20"/>
      <c r="F13" s="19"/>
    </row>
    <row r="14" spans="1:6" ht="20.45" customHeight="1" x14ac:dyDescent="0.25">
      <c r="A14" s="121"/>
      <c r="B14" s="135"/>
      <c r="C14" s="25" t="s">
        <v>111</v>
      </c>
      <c r="D14" s="18">
        <v>6</v>
      </c>
      <c r="E14" s="20"/>
      <c r="F14" s="19"/>
    </row>
    <row r="15" spans="1:6" s="10" customFormat="1" ht="24.6" customHeight="1" x14ac:dyDescent="0.25">
      <c r="A15" s="21">
        <v>4</v>
      </c>
      <c r="B15" s="24" t="s">
        <v>8</v>
      </c>
      <c r="C15" s="78" t="s">
        <v>110</v>
      </c>
      <c r="D15" s="18">
        <v>4</v>
      </c>
      <c r="E15" s="20"/>
      <c r="F15" s="19"/>
    </row>
    <row r="16" spans="1:6" s="10" customFormat="1" ht="24.6" customHeight="1" x14ac:dyDescent="0.25">
      <c r="A16" s="120">
        <v>5</v>
      </c>
      <c r="B16" s="133" t="s">
        <v>9</v>
      </c>
      <c r="C16" s="78" t="s">
        <v>122</v>
      </c>
      <c r="D16" s="18">
        <v>1</v>
      </c>
      <c r="E16" s="20"/>
      <c r="F16" s="19"/>
    </row>
    <row r="17" spans="1:6" s="10" customFormat="1" ht="24.6" customHeight="1" x14ac:dyDescent="0.25">
      <c r="A17" s="131"/>
      <c r="B17" s="134"/>
      <c r="C17" s="78" t="s">
        <v>110</v>
      </c>
      <c r="D17" s="18">
        <v>7</v>
      </c>
      <c r="E17" s="20"/>
      <c r="F17" s="19"/>
    </row>
    <row r="18" spans="1:6" ht="15" x14ac:dyDescent="0.25">
      <c r="A18" s="121"/>
      <c r="B18" s="135"/>
      <c r="C18" s="78" t="s">
        <v>111</v>
      </c>
      <c r="D18" s="18">
        <v>3</v>
      </c>
      <c r="E18" s="20"/>
      <c r="F18" s="19"/>
    </row>
    <row r="19" spans="1:6" ht="14.45" customHeight="1" x14ac:dyDescent="0.25">
      <c r="A19" s="120">
        <v>6</v>
      </c>
      <c r="B19" s="133" t="s">
        <v>10</v>
      </c>
      <c r="C19" s="78" t="s">
        <v>122</v>
      </c>
      <c r="D19" s="18">
        <v>4</v>
      </c>
      <c r="E19" s="20"/>
      <c r="F19" s="19"/>
    </row>
    <row r="20" spans="1:6" ht="15" x14ac:dyDescent="0.25">
      <c r="A20" s="131"/>
      <c r="B20" s="134"/>
      <c r="C20" s="78" t="s">
        <v>110</v>
      </c>
      <c r="D20" s="18">
        <v>6</v>
      </c>
      <c r="E20" s="20"/>
      <c r="F20" s="19"/>
    </row>
    <row r="21" spans="1:6" s="10" customFormat="1" ht="26.1" customHeight="1" x14ac:dyDescent="0.25">
      <c r="A21" s="121"/>
      <c r="B21" s="135"/>
      <c r="C21" s="25" t="s">
        <v>111</v>
      </c>
      <c r="D21" s="18">
        <v>5</v>
      </c>
      <c r="E21" s="18"/>
      <c r="F21" s="19"/>
    </row>
    <row r="22" spans="1:6" s="10" customFormat="1" ht="17.100000000000001" customHeight="1" x14ac:dyDescent="0.25">
      <c r="A22" s="120">
        <v>7</v>
      </c>
      <c r="B22" s="133" t="s">
        <v>11</v>
      </c>
      <c r="C22" s="25" t="s">
        <v>110</v>
      </c>
      <c r="D22" s="18">
        <v>4</v>
      </c>
      <c r="E22" s="18"/>
      <c r="F22" s="19"/>
    </row>
    <row r="23" spans="1:6" s="10" customFormat="1" ht="15.75" x14ac:dyDescent="0.2">
      <c r="A23" s="121"/>
      <c r="B23" s="135"/>
      <c r="C23" s="83" t="s">
        <v>111</v>
      </c>
      <c r="D23" s="36">
        <v>3</v>
      </c>
      <c r="E23" s="37"/>
      <c r="F23" s="38"/>
    </row>
    <row r="24" spans="1:6" s="10" customFormat="1" ht="15.75" x14ac:dyDescent="0.2">
      <c r="A24" s="120">
        <v>8</v>
      </c>
      <c r="B24" s="133" t="s">
        <v>12</v>
      </c>
      <c r="C24" s="84" t="s">
        <v>112</v>
      </c>
      <c r="D24" s="36">
        <v>1</v>
      </c>
      <c r="E24" s="37"/>
      <c r="F24" s="38"/>
    </row>
    <row r="25" spans="1:6" s="10" customFormat="1" ht="15" x14ac:dyDescent="0.25">
      <c r="A25" s="121"/>
      <c r="B25" s="135"/>
      <c r="C25" s="25" t="s">
        <v>110</v>
      </c>
      <c r="D25" s="18">
        <v>3</v>
      </c>
      <c r="E25" s="20"/>
      <c r="F25" s="19"/>
    </row>
    <row r="26" spans="1:6" s="10" customFormat="1" ht="15" x14ac:dyDescent="0.25">
      <c r="A26" s="77">
        <v>9</v>
      </c>
      <c r="B26" s="24" t="s">
        <v>13</v>
      </c>
      <c r="C26" s="25" t="s">
        <v>110</v>
      </c>
      <c r="D26" s="18">
        <v>7</v>
      </c>
      <c r="E26" s="18"/>
      <c r="F26" s="19"/>
    </row>
    <row r="27" spans="1:6" s="10" customFormat="1" ht="15" x14ac:dyDescent="0.25">
      <c r="A27" s="120">
        <v>10</v>
      </c>
      <c r="B27" s="133" t="s">
        <v>130</v>
      </c>
      <c r="C27" s="25" t="s">
        <v>122</v>
      </c>
      <c r="D27" s="18">
        <v>1</v>
      </c>
      <c r="E27" s="18"/>
      <c r="F27" s="19"/>
    </row>
    <row r="28" spans="1:6" s="10" customFormat="1" ht="15" x14ac:dyDescent="0.25">
      <c r="A28" s="131"/>
      <c r="B28" s="134"/>
      <c r="C28" s="25" t="s">
        <v>110</v>
      </c>
      <c r="D28" s="18">
        <v>8</v>
      </c>
      <c r="E28" s="18"/>
      <c r="F28" s="19"/>
    </row>
    <row r="29" spans="1:6" s="10" customFormat="1" ht="15" x14ac:dyDescent="0.25">
      <c r="A29" s="121"/>
      <c r="B29" s="135"/>
      <c r="C29" s="25" t="s">
        <v>111</v>
      </c>
      <c r="D29" s="18">
        <v>5</v>
      </c>
      <c r="E29" s="20"/>
      <c r="F29" s="20"/>
    </row>
    <row r="30" spans="1:6" s="10" customFormat="1" ht="15" x14ac:dyDescent="0.25">
      <c r="A30" s="120">
        <v>11</v>
      </c>
      <c r="B30" s="133" t="s">
        <v>14</v>
      </c>
      <c r="C30" s="25" t="s">
        <v>122</v>
      </c>
      <c r="D30" s="18">
        <v>3</v>
      </c>
      <c r="E30" s="20"/>
      <c r="F30" s="20"/>
    </row>
    <row r="31" spans="1:6" s="10" customFormat="1" ht="15" x14ac:dyDescent="0.25">
      <c r="A31" s="131"/>
      <c r="B31" s="134"/>
      <c r="C31" s="25" t="s">
        <v>110</v>
      </c>
      <c r="D31" s="18">
        <v>1</v>
      </c>
      <c r="E31" s="20"/>
      <c r="F31" s="20"/>
    </row>
    <row r="32" spans="1:6" ht="15" x14ac:dyDescent="0.25">
      <c r="A32" s="121"/>
      <c r="B32" s="135"/>
      <c r="C32" s="25" t="s">
        <v>111</v>
      </c>
      <c r="D32" s="18">
        <v>4</v>
      </c>
      <c r="E32" s="18"/>
      <c r="F32" s="19"/>
    </row>
    <row r="33" spans="1:6" ht="14.45" customHeight="1" x14ac:dyDescent="0.25">
      <c r="A33" s="120">
        <v>12</v>
      </c>
      <c r="B33" s="133" t="s">
        <v>15</v>
      </c>
      <c r="C33" s="25" t="s">
        <v>122</v>
      </c>
      <c r="D33" s="18">
        <v>2</v>
      </c>
      <c r="E33" s="18"/>
      <c r="F33" s="19"/>
    </row>
    <row r="34" spans="1:6" ht="14.45" customHeight="1" x14ac:dyDescent="0.25">
      <c r="A34" s="131"/>
      <c r="B34" s="134"/>
      <c r="C34" s="25" t="s">
        <v>110</v>
      </c>
      <c r="D34" s="18">
        <v>5</v>
      </c>
      <c r="E34" s="18"/>
      <c r="F34" s="19"/>
    </row>
    <row r="35" spans="1:6" s="10" customFormat="1" ht="15" x14ac:dyDescent="0.25">
      <c r="A35" s="121"/>
      <c r="B35" s="135"/>
      <c r="C35" s="78" t="s">
        <v>111</v>
      </c>
      <c r="D35" s="18">
        <v>3</v>
      </c>
      <c r="E35" s="26"/>
      <c r="F35" s="19"/>
    </row>
    <row r="36" spans="1:6" s="10" customFormat="1" ht="15" x14ac:dyDescent="0.25">
      <c r="A36" s="21">
        <v>13</v>
      </c>
      <c r="B36" s="24" t="s">
        <v>16</v>
      </c>
      <c r="C36" s="25"/>
      <c r="D36" s="18"/>
      <c r="E36" s="20"/>
      <c r="F36" s="19"/>
    </row>
    <row r="37" spans="1:6" s="10" customFormat="1" ht="15" x14ac:dyDescent="0.25">
      <c r="A37" s="120">
        <v>14</v>
      </c>
      <c r="B37" s="133" t="s">
        <v>17</v>
      </c>
      <c r="C37" s="25" t="s">
        <v>145</v>
      </c>
      <c r="D37" s="18">
        <v>1</v>
      </c>
      <c r="E37" s="20"/>
      <c r="F37" s="19"/>
    </row>
    <row r="38" spans="1:6" s="10" customFormat="1" ht="15" x14ac:dyDescent="0.25">
      <c r="A38" s="131"/>
      <c r="B38" s="134"/>
      <c r="C38" s="25" t="s">
        <v>110</v>
      </c>
      <c r="D38" s="18">
        <v>3</v>
      </c>
      <c r="E38" s="20"/>
      <c r="F38" s="19"/>
    </row>
    <row r="39" spans="1:6" s="10" customFormat="1" ht="15" x14ac:dyDescent="0.25">
      <c r="A39" s="121"/>
      <c r="B39" s="135"/>
      <c r="C39" s="25" t="s">
        <v>111</v>
      </c>
      <c r="D39" s="52">
        <v>3</v>
      </c>
      <c r="E39" s="18"/>
      <c r="F39" s="19"/>
    </row>
    <row r="40" spans="1:6" s="10" customFormat="1" ht="15" x14ac:dyDescent="0.25">
      <c r="A40" s="21">
        <v>15</v>
      </c>
      <c r="B40" s="24" t="s">
        <v>18</v>
      </c>
      <c r="C40" s="25" t="s">
        <v>110</v>
      </c>
      <c r="D40" s="52">
        <v>4</v>
      </c>
      <c r="E40" s="18"/>
      <c r="F40" s="19"/>
    </row>
    <row r="41" spans="1:6" s="10" customFormat="1" ht="15" x14ac:dyDescent="0.25">
      <c r="A41" s="145">
        <v>16</v>
      </c>
      <c r="B41" s="142" t="s">
        <v>19</v>
      </c>
      <c r="C41" s="25" t="s">
        <v>122</v>
      </c>
      <c r="D41" s="52">
        <v>1</v>
      </c>
      <c r="E41" s="18"/>
      <c r="F41" s="19"/>
    </row>
    <row r="42" spans="1:6" s="10" customFormat="1" ht="15" x14ac:dyDescent="0.25">
      <c r="A42" s="146"/>
      <c r="B42" s="142"/>
      <c r="C42" s="25" t="s">
        <v>110</v>
      </c>
      <c r="D42" s="53">
        <v>5</v>
      </c>
      <c r="E42" s="20"/>
      <c r="F42" s="19"/>
    </row>
    <row r="43" spans="1:6" s="10" customFormat="1" ht="15" x14ac:dyDescent="0.25">
      <c r="A43" s="147"/>
      <c r="B43" s="142"/>
      <c r="C43" s="25" t="s">
        <v>111</v>
      </c>
      <c r="D43" s="53">
        <v>3</v>
      </c>
      <c r="E43" s="48"/>
      <c r="F43" s="19"/>
    </row>
    <row r="44" spans="1:6" s="10" customFormat="1" ht="15" x14ac:dyDescent="0.25">
      <c r="A44" s="145">
        <v>17</v>
      </c>
      <c r="B44" s="142" t="s">
        <v>20</v>
      </c>
      <c r="C44" s="25" t="s">
        <v>122</v>
      </c>
      <c r="D44" s="53">
        <v>1</v>
      </c>
      <c r="E44" s="48"/>
      <c r="F44" s="19"/>
    </row>
    <row r="45" spans="1:6" s="10" customFormat="1" ht="15" x14ac:dyDescent="0.25">
      <c r="A45" s="146"/>
      <c r="B45" s="142"/>
      <c r="C45" s="25" t="s">
        <v>110</v>
      </c>
      <c r="D45" s="53">
        <v>13</v>
      </c>
      <c r="E45" s="48"/>
      <c r="F45" s="19"/>
    </row>
    <row r="46" spans="1:6" s="10" customFormat="1" ht="15" x14ac:dyDescent="0.25">
      <c r="A46" s="146"/>
      <c r="B46" s="142"/>
      <c r="C46" s="25" t="s">
        <v>111</v>
      </c>
      <c r="D46" s="53">
        <v>9</v>
      </c>
      <c r="E46" s="48"/>
      <c r="F46" s="19"/>
    </row>
    <row r="47" spans="1:6" s="10" customFormat="1" ht="14.45" customHeight="1" x14ac:dyDescent="0.25">
      <c r="A47" s="120">
        <v>18</v>
      </c>
      <c r="B47" s="133" t="s">
        <v>21</v>
      </c>
      <c r="C47" s="78" t="s">
        <v>122</v>
      </c>
      <c r="D47" s="63">
        <v>2</v>
      </c>
      <c r="E47" s="62"/>
      <c r="F47" s="19"/>
    </row>
    <row r="48" spans="1:6" s="10" customFormat="1" ht="15" x14ac:dyDescent="0.25">
      <c r="A48" s="131"/>
      <c r="B48" s="134"/>
      <c r="C48" s="78" t="s">
        <v>110</v>
      </c>
      <c r="D48" s="63">
        <v>7</v>
      </c>
      <c r="E48" s="62"/>
      <c r="F48" s="19"/>
    </row>
    <row r="49" spans="1:9" s="10" customFormat="1" ht="15" x14ac:dyDescent="0.25">
      <c r="A49" s="121"/>
      <c r="B49" s="135"/>
      <c r="C49" s="78" t="s">
        <v>111</v>
      </c>
      <c r="D49" s="52">
        <v>1</v>
      </c>
      <c r="E49" s="27"/>
      <c r="F49" s="18"/>
    </row>
    <row r="50" spans="1:9" s="10" customFormat="1" ht="15" x14ac:dyDescent="0.25">
      <c r="A50" s="120">
        <v>19</v>
      </c>
      <c r="B50" s="133" t="s">
        <v>22</v>
      </c>
      <c r="C50" s="78" t="s">
        <v>110</v>
      </c>
      <c r="D50" s="52">
        <v>3</v>
      </c>
      <c r="E50" s="27"/>
      <c r="F50" s="18"/>
    </row>
    <row r="51" spans="1:9" s="10" customFormat="1" ht="15" x14ac:dyDescent="0.25">
      <c r="A51" s="121"/>
      <c r="B51" s="135"/>
      <c r="C51" s="25" t="s">
        <v>111</v>
      </c>
      <c r="D51" s="52">
        <v>5</v>
      </c>
      <c r="E51" s="18"/>
      <c r="F51" s="19"/>
    </row>
    <row r="52" spans="1:9" s="10" customFormat="1" ht="15" x14ac:dyDescent="0.25">
      <c r="A52" s="120">
        <v>20</v>
      </c>
      <c r="B52" s="133" t="s">
        <v>23</v>
      </c>
      <c r="C52" s="25" t="s">
        <v>122</v>
      </c>
      <c r="D52" s="52">
        <v>1</v>
      </c>
      <c r="E52" s="18"/>
      <c r="F52" s="19"/>
    </row>
    <row r="53" spans="1:9" s="10" customFormat="1" ht="18.75" customHeight="1" x14ac:dyDescent="0.25">
      <c r="A53" s="121"/>
      <c r="B53" s="135"/>
      <c r="C53" s="25" t="s">
        <v>110</v>
      </c>
      <c r="D53" s="63">
        <v>2</v>
      </c>
      <c r="E53" s="18"/>
      <c r="F53" s="19"/>
    </row>
    <row r="54" spans="1:9" s="10" customFormat="1" ht="18" customHeight="1" x14ac:dyDescent="0.25">
      <c r="A54" s="120">
        <v>21</v>
      </c>
      <c r="B54" s="133" t="s">
        <v>24</v>
      </c>
      <c r="C54" s="25" t="s">
        <v>110</v>
      </c>
      <c r="D54" s="63">
        <v>5</v>
      </c>
      <c r="E54" s="61"/>
      <c r="F54" s="19"/>
    </row>
    <row r="55" spans="1:9" s="10" customFormat="1" ht="15" x14ac:dyDescent="0.25">
      <c r="A55" s="121"/>
      <c r="B55" s="135"/>
      <c r="C55" s="25" t="s">
        <v>111</v>
      </c>
      <c r="D55" s="52">
        <v>6</v>
      </c>
      <c r="E55" s="27"/>
      <c r="F55" s="20"/>
    </row>
    <row r="56" spans="1:9" s="10" customFormat="1" ht="15" x14ac:dyDescent="0.25">
      <c r="A56" s="21">
        <v>22</v>
      </c>
      <c r="B56" s="24" t="s">
        <v>25</v>
      </c>
      <c r="C56" s="25" t="s">
        <v>110</v>
      </c>
      <c r="D56" s="54">
        <v>5</v>
      </c>
      <c r="E56" s="20"/>
      <c r="F56" s="19"/>
    </row>
    <row r="57" spans="1:9" s="10" customFormat="1" ht="15" x14ac:dyDescent="0.25">
      <c r="A57" s="120">
        <v>23</v>
      </c>
      <c r="B57" s="136" t="s">
        <v>26</v>
      </c>
      <c r="C57" s="25" t="s">
        <v>110</v>
      </c>
      <c r="D57" s="54">
        <v>2</v>
      </c>
      <c r="E57" s="20"/>
      <c r="F57" s="19"/>
    </row>
    <row r="58" spans="1:9" s="10" customFormat="1" ht="15" x14ac:dyDescent="0.25">
      <c r="A58" s="121"/>
      <c r="B58" s="137"/>
      <c r="C58" s="25" t="s">
        <v>111</v>
      </c>
      <c r="D58" s="52">
        <v>4</v>
      </c>
      <c r="E58" s="18"/>
      <c r="F58" s="19"/>
    </row>
    <row r="59" spans="1:9" s="10" customFormat="1" ht="15" x14ac:dyDescent="0.25">
      <c r="A59" s="120">
        <v>24</v>
      </c>
      <c r="B59" s="133" t="s">
        <v>27</v>
      </c>
      <c r="C59" s="25" t="s">
        <v>122</v>
      </c>
      <c r="D59" s="52">
        <v>1</v>
      </c>
      <c r="E59" s="18"/>
      <c r="F59" s="19"/>
    </row>
    <row r="60" spans="1:9" s="10" customFormat="1" ht="15" x14ac:dyDescent="0.25">
      <c r="A60" s="121"/>
      <c r="B60" s="135"/>
      <c r="C60" s="25" t="s">
        <v>110</v>
      </c>
      <c r="D60" s="52">
        <v>3</v>
      </c>
      <c r="E60" s="20"/>
      <c r="F60" s="19"/>
    </row>
    <row r="61" spans="1:9" s="10" customFormat="1" ht="15" x14ac:dyDescent="0.25">
      <c r="A61" s="21">
        <v>25</v>
      </c>
      <c r="B61" s="24" t="s">
        <v>28</v>
      </c>
      <c r="C61" s="78" t="s">
        <v>110</v>
      </c>
      <c r="D61" s="52">
        <v>1</v>
      </c>
      <c r="E61" s="20"/>
      <c r="F61" s="19"/>
    </row>
    <row r="62" spans="1:9" s="10" customFormat="1" ht="14.45" customHeight="1" x14ac:dyDescent="0.25">
      <c r="A62" s="120">
        <v>26</v>
      </c>
      <c r="B62" s="133" t="s">
        <v>29</v>
      </c>
      <c r="C62" s="78" t="s">
        <v>110</v>
      </c>
      <c r="D62" s="52">
        <v>2</v>
      </c>
      <c r="E62" s="20"/>
      <c r="F62" s="19"/>
    </row>
    <row r="63" spans="1:9" s="10" customFormat="1" ht="15" x14ac:dyDescent="0.2">
      <c r="A63" s="121"/>
      <c r="B63" s="135"/>
      <c r="C63" s="78" t="s">
        <v>111</v>
      </c>
      <c r="D63" s="55">
        <v>4</v>
      </c>
      <c r="E63" s="34"/>
      <c r="F63" s="35"/>
      <c r="I63" s="10" t="s">
        <v>67</v>
      </c>
    </row>
    <row r="64" spans="1:9" s="10" customFormat="1" ht="15" x14ac:dyDescent="0.2">
      <c r="A64" s="120">
        <v>27</v>
      </c>
      <c r="B64" s="136" t="s">
        <v>30</v>
      </c>
      <c r="C64" s="109" t="s">
        <v>110</v>
      </c>
      <c r="D64" s="55">
        <v>3</v>
      </c>
      <c r="E64" s="34"/>
      <c r="F64" s="35"/>
    </row>
    <row r="65" spans="1:6" s="10" customFormat="1" ht="15" x14ac:dyDescent="0.25">
      <c r="A65" s="121"/>
      <c r="B65" s="137"/>
      <c r="C65" s="25" t="s">
        <v>111</v>
      </c>
      <c r="D65" s="52">
        <v>5</v>
      </c>
      <c r="E65" s="18"/>
      <c r="F65" s="28"/>
    </row>
    <row r="66" spans="1:6" s="10" customFormat="1" ht="15" x14ac:dyDescent="0.25">
      <c r="A66" s="120">
        <v>28</v>
      </c>
      <c r="B66" s="136" t="s">
        <v>31</v>
      </c>
      <c r="C66" s="25" t="s">
        <v>110</v>
      </c>
      <c r="D66" s="52">
        <v>7</v>
      </c>
      <c r="E66" s="18"/>
      <c r="F66" s="28"/>
    </row>
    <row r="67" spans="1:6" s="10" customFormat="1" ht="15" x14ac:dyDescent="0.25">
      <c r="A67" s="121"/>
      <c r="B67" s="137"/>
      <c r="C67" s="78" t="s">
        <v>111</v>
      </c>
      <c r="D67" s="52">
        <v>1</v>
      </c>
      <c r="E67" s="18"/>
      <c r="F67" s="19"/>
    </row>
    <row r="68" spans="1:6" s="10" customFormat="1" ht="15" x14ac:dyDescent="0.25">
      <c r="A68" s="21">
        <v>29</v>
      </c>
      <c r="B68" s="24" t="s">
        <v>32</v>
      </c>
      <c r="C68" s="78"/>
      <c r="D68" s="52"/>
      <c r="E68" s="20"/>
      <c r="F68" s="19"/>
    </row>
    <row r="69" spans="1:6" s="10" customFormat="1" ht="14.45" customHeight="1" x14ac:dyDescent="0.25">
      <c r="A69" s="120">
        <v>30</v>
      </c>
      <c r="B69" s="133" t="s">
        <v>33</v>
      </c>
      <c r="C69" s="78" t="s">
        <v>110</v>
      </c>
      <c r="D69" s="52">
        <v>4</v>
      </c>
      <c r="E69" s="20"/>
      <c r="F69" s="19"/>
    </row>
    <row r="70" spans="1:6" s="10" customFormat="1" ht="15" x14ac:dyDescent="0.25">
      <c r="A70" s="121"/>
      <c r="B70" s="135"/>
      <c r="C70" s="25" t="s">
        <v>111</v>
      </c>
      <c r="D70" s="52">
        <v>3</v>
      </c>
      <c r="E70" s="20"/>
      <c r="F70" s="19"/>
    </row>
    <row r="71" spans="1:6" s="10" customFormat="1" ht="27.6" customHeight="1" x14ac:dyDescent="0.25">
      <c r="A71" s="21">
        <v>31</v>
      </c>
      <c r="B71" s="24" t="s">
        <v>34</v>
      </c>
      <c r="C71" s="78"/>
      <c r="D71" s="18"/>
      <c r="E71" s="18"/>
      <c r="F71" s="19"/>
    </row>
    <row r="72" spans="1:6" s="10" customFormat="1" ht="27.6" customHeight="1" x14ac:dyDescent="0.25">
      <c r="A72" s="120">
        <v>32</v>
      </c>
      <c r="B72" s="133" t="s">
        <v>35</v>
      </c>
      <c r="C72" s="46" t="s">
        <v>110</v>
      </c>
      <c r="D72" s="18">
        <v>6</v>
      </c>
      <c r="E72" s="74"/>
      <c r="F72" s="19"/>
    </row>
    <row r="73" spans="1:6" s="10" customFormat="1" ht="15.75" x14ac:dyDescent="0.25">
      <c r="A73" s="121"/>
      <c r="B73" s="135"/>
      <c r="C73" s="47" t="s">
        <v>111</v>
      </c>
      <c r="D73" s="75">
        <v>3</v>
      </c>
      <c r="E73" s="48"/>
      <c r="F73" s="19"/>
    </row>
    <row r="74" spans="1:6" s="10" customFormat="1" ht="15.75" x14ac:dyDescent="0.25">
      <c r="A74" s="120">
        <v>33</v>
      </c>
      <c r="B74" s="133" t="s">
        <v>36</v>
      </c>
      <c r="C74" s="47" t="s">
        <v>110</v>
      </c>
      <c r="D74" s="75">
        <v>4</v>
      </c>
      <c r="E74" s="48"/>
      <c r="F74" s="19"/>
    </row>
    <row r="75" spans="1:6" s="10" customFormat="1" ht="20.45" customHeight="1" x14ac:dyDescent="0.2">
      <c r="A75" s="121"/>
      <c r="B75" s="135"/>
      <c r="C75" s="25" t="s">
        <v>111</v>
      </c>
      <c r="D75" s="32">
        <v>11</v>
      </c>
      <c r="E75" s="33"/>
      <c r="F75" s="33"/>
    </row>
    <row r="76" spans="1:6" s="10" customFormat="1" ht="15" x14ac:dyDescent="0.25">
      <c r="A76" s="21">
        <v>34</v>
      </c>
      <c r="B76" s="24" t="s">
        <v>37</v>
      </c>
      <c r="C76" s="25" t="s">
        <v>110</v>
      </c>
      <c r="D76" s="18">
        <v>2</v>
      </c>
      <c r="E76" s="20"/>
      <c r="F76" s="19"/>
    </row>
    <row r="77" spans="1:6" s="10" customFormat="1" ht="31.5" customHeight="1" x14ac:dyDescent="0.25">
      <c r="A77" s="120">
        <v>35</v>
      </c>
      <c r="B77" s="133" t="s">
        <v>38</v>
      </c>
      <c r="C77" s="25"/>
      <c r="D77" s="18"/>
      <c r="E77" s="29"/>
      <c r="F77" s="29"/>
    </row>
    <row r="78" spans="1:6" s="10" customFormat="1" ht="21" customHeight="1" x14ac:dyDescent="0.25">
      <c r="A78" s="131"/>
      <c r="B78" s="134"/>
      <c r="C78" s="25" t="s">
        <v>110</v>
      </c>
      <c r="D78" s="18">
        <v>8</v>
      </c>
      <c r="E78" s="29"/>
      <c r="F78" s="29"/>
    </row>
    <row r="79" spans="1:6" s="10" customFormat="1" ht="15" x14ac:dyDescent="0.25">
      <c r="A79" s="121"/>
      <c r="B79" s="135"/>
      <c r="C79" s="30" t="s">
        <v>111</v>
      </c>
      <c r="D79" s="18">
        <v>4</v>
      </c>
      <c r="E79" s="18"/>
      <c r="F79" s="19"/>
    </row>
    <row r="80" spans="1:6" s="10" customFormat="1" ht="15" x14ac:dyDescent="0.25">
      <c r="A80" s="120">
        <v>37</v>
      </c>
      <c r="B80" s="133" t="s">
        <v>40</v>
      </c>
      <c r="C80" s="30" t="s">
        <v>110</v>
      </c>
      <c r="D80" s="18">
        <v>26</v>
      </c>
      <c r="E80" s="18"/>
      <c r="F80" s="19"/>
    </row>
    <row r="81" spans="1:6" s="11" customFormat="1" ht="15" x14ac:dyDescent="0.25">
      <c r="A81" s="121"/>
      <c r="B81" s="135"/>
      <c r="C81" s="30" t="s">
        <v>111</v>
      </c>
      <c r="D81" s="18">
        <v>6</v>
      </c>
      <c r="E81" s="20"/>
      <c r="F81" s="19"/>
    </row>
    <row r="82" spans="1:6" s="11" customFormat="1" ht="15" x14ac:dyDescent="0.25">
      <c r="A82" s="120">
        <v>38</v>
      </c>
      <c r="B82" s="133" t="s">
        <v>41</v>
      </c>
      <c r="C82" s="30" t="s">
        <v>122</v>
      </c>
      <c r="D82" s="18">
        <v>1</v>
      </c>
      <c r="E82" s="20"/>
      <c r="F82" s="19"/>
    </row>
    <row r="83" spans="1:6" s="10" customFormat="1" ht="15.75" x14ac:dyDescent="0.25">
      <c r="A83" s="121"/>
      <c r="B83" s="135"/>
      <c r="C83" s="85" t="s">
        <v>110</v>
      </c>
      <c r="D83" s="18">
        <v>3</v>
      </c>
      <c r="E83" s="19"/>
      <c r="F83" s="20"/>
    </row>
    <row r="84" spans="1:6" s="10" customFormat="1" ht="15.75" x14ac:dyDescent="0.25">
      <c r="A84" s="120">
        <v>39</v>
      </c>
      <c r="B84" s="133" t="s">
        <v>42</v>
      </c>
      <c r="C84" s="86" t="s">
        <v>110</v>
      </c>
      <c r="D84" s="18">
        <v>1</v>
      </c>
      <c r="E84" s="79"/>
      <c r="F84" s="62"/>
    </row>
    <row r="85" spans="1:6" s="10" customFormat="1" ht="15.75" x14ac:dyDescent="0.25">
      <c r="A85" s="121"/>
      <c r="B85" s="135"/>
      <c r="C85" s="25" t="s">
        <v>111</v>
      </c>
      <c r="D85" s="18">
        <v>2</v>
      </c>
      <c r="E85" s="29"/>
      <c r="F85" s="29"/>
    </row>
    <row r="86" spans="1:6" s="10" customFormat="1" ht="15.75" x14ac:dyDescent="0.25">
      <c r="A86" s="120">
        <v>40</v>
      </c>
      <c r="B86" s="133" t="s">
        <v>43</v>
      </c>
      <c r="C86" s="25" t="s">
        <v>110</v>
      </c>
      <c r="D86" s="18">
        <v>2</v>
      </c>
      <c r="E86" s="29"/>
      <c r="F86" s="29"/>
    </row>
    <row r="87" spans="1:6" s="10" customFormat="1" ht="15.75" x14ac:dyDescent="0.25">
      <c r="A87" s="121"/>
      <c r="B87" s="135"/>
      <c r="C87" s="25" t="s">
        <v>111</v>
      </c>
      <c r="D87" s="107">
        <v>3</v>
      </c>
      <c r="E87" s="20"/>
      <c r="F87" s="19"/>
    </row>
    <row r="88" spans="1:6" s="10" customFormat="1" ht="15" x14ac:dyDescent="0.25">
      <c r="A88" s="21">
        <v>41</v>
      </c>
      <c r="B88" s="24" t="s">
        <v>44</v>
      </c>
      <c r="C88" s="25" t="s">
        <v>110</v>
      </c>
      <c r="D88" s="18">
        <v>4</v>
      </c>
      <c r="E88" s="20"/>
      <c r="F88" s="19"/>
    </row>
    <row r="89" spans="1:6" s="10" customFormat="1" ht="15" x14ac:dyDescent="0.25">
      <c r="A89" s="120">
        <v>42</v>
      </c>
      <c r="B89" s="136" t="s">
        <v>45</v>
      </c>
      <c r="C89" s="47" t="s">
        <v>110</v>
      </c>
      <c r="D89" s="18">
        <v>3</v>
      </c>
      <c r="E89" s="48"/>
      <c r="F89" s="19"/>
    </row>
    <row r="90" spans="1:6" s="10" customFormat="1" ht="20.45" customHeight="1" x14ac:dyDescent="0.25">
      <c r="A90" s="121"/>
      <c r="B90" s="137"/>
      <c r="C90" s="46" t="s">
        <v>111</v>
      </c>
      <c r="D90" s="64">
        <v>1</v>
      </c>
      <c r="E90" s="48"/>
      <c r="F90" s="19"/>
    </row>
    <row r="91" spans="1:6" s="10" customFormat="1" ht="15" x14ac:dyDescent="0.25">
      <c r="A91" s="21">
        <v>43</v>
      </c>
      <c r="B91" s="24" t="s">
        <v>46</v>
      </c>
      <c r="C91" s="47" t="s">
        <v>110</v>
      </c>
      <c r="D91" s="64">
        <v>1</v>
      </c>
      <c r="E91" s="48"/>
      <c r="F91" s="19"/>
    </row>
    <row r="92" spans="1:6" s="10" customFormat="1" ht="15" x14ac:dyDescent="0.25">
      <c r="A92" s="21">
        <v>44</v>
      </c>
      <c r="B92" s="24" t="s">
        <v>47</v>
      </c>
      <c r="C92" s="47" t="s">
        <v>110</v>
      </c>
      <c r="D92" s="64">
        <v>4</v>
      </c>
      <c r="E92" s="49"/>
      <c r="F92" s="19"/>
    </row>
    <row r="93" spans="1:6" s="10" customFormat="1" ht="15" x14ac:dyDescent="0.25">
      <c r="A93" s="120">
        <v>45</v>
      </c>
      <c r="B93" s="133" t="s">
        <v>48</v>
      </c>
      <c r="C93" s="30" t="s">
        <v>122</v>
      </c>
      <c r="D93" s="108">
        <v>1</v>
      </c>
      <c r="E93" s="76"/>
      <c r="F93" s="19"/>
    </row>
    <row r="94" spans="1:6" s="10" customFormat="1" ht="15" x14ac:dyDescent="0.25">
      <c r="A94" s="131"/>
      <c r="B94" s="134"/>
      <c r="C94" s="25" t="s">
        <v>110</v>
      </c>
      <c r="D94" s="50">
        <v>5</v>
      </c>
      <c r="E94" s="27"/>
      <c r="F94" s="20"/>
    </row>
    <row r="95" spans="1:6" s="10" customFormat="1" ht="15" x14ac:dyDescent="0.25">
      <c r="A95" s="121"/>
      <c r="B95" s="135"/>
      <c r="C95" s="30" t="s">
        <v>111</v>
      </c>
      <c r="D95" s="50">
        <v>128</v>
      </c>
      <c r="E95" s="27"/>
      <c r="F95" s="20"/>
    </row>
    <row r="96" spans="1:6" s="10" customFormat="1" ht="21.95" customHeight="1" x14ac:dyDescent="0.25">
      <c r="A96" s="21">
        <v>46</v>
      </c>
      <c r="B96" s="24" t="s">
        <v>49</v>
      </c>
      <c r="C96" s="30" t="s">
        <v>110</v>
      </c>
      <c r="D96" s="18">
        <v>4</v>
      </c>
      <c r="E96" s="18"/>
      <c r="F96" s="19"/>
    </row>
    <row r="97" spans="1:6" s="10" customFormat="1" ht="21.95" customHeight="1" x14ac:dyDescent="0.25">
      <c r="A97" s="120">
        <v>47</v>
      </c>
      <c r="B97" s="133" t="s">
        <v>50</v>
      </c>
      <c r="C97" s="30" t="s">
        <v>122</v>
      </c>
      <c r="D97" s="18">
        <v>1</v>
      </c>
      <c r="E97" s="18" t="s">
        <v>150</v>
      </c>
      <c r="F97" s="19"/>
    </row>
    <row r="98" spans="1:6" s="10" customFormat="1" ht="21.95" customHeight="1" x14ac:dyDescent="0.25">
      <c r="A98" s="131"/>
      <c r="B98" s="134"/>
      <c r="C98" s="30" t="s">
        <v>110</v>
      </c>
      <c r="D98" s="18">
        <v>6</v>
      </c>
      <c r="E98" s="18"/>
      <c r="F98" s="19"/>
    </row>
    <row r="99" spans="1:6" s="10" customFormat="1" ht="15" x14ac:dyDescent="0.25">
      <c r="A99" s="121"/>
      <c r="B99" s="135"/>
      <c r="C99" s="30" t="s">
        <v>111</v>
      </c>
      <c r="D99" s="18">
        <v>6</v>
      </c>
      <c r="E99" s="18"/>
      <c r="F99" s="19"/>
    </row>
    <row r="100" spans="1:6" s="10" customFormat="1" ht="15" x14ac:dyDescent="0.25">
      <c r="A100" s="120">
        <v>48</v>
      </c>
      <c r="B100" s="133" t="s">
        <v>51</v>
      </c>
      <c r="C100" s="30" t="s">
        <v>146</v>
      </c>
      <c r="D100" s="18">
        <v>1</v>
      </c>
      <c r="E100" s="18"/>
      <c r="F100" s="19"/>
    </row>
    <row r="101" spans="1:6" s="10" customFormat="1" ht="15" x14ac:dyDescent="0.25">
      <c r="A101" s="131"/>
      <c r="B101" s="134"/>
      <c r="C101" s="30" t="s">
        <v>110</v>
      </c>
      <c r="D101" s="18">
        <v>4</v>
      </c>
      <c r="E101" s="18"/>
      <c r="F101" s="19"/>
    </row>
    <row r="102" spans="1:6" s="10" customFormat="1" ht="15" x14ac:dyDescent="0.25">
      <c r="A102" s="121"/>
      <c r="B102" s="135"/>
      <c r="C102" s="25" t="s">
        <v>111</v>
      </c>
      <c r="D102" s="18">
        <v>1</v>
      </c>
      <c r="E102" s="20"/>
      <c r="F102" s="19"/>
    </row>
    <row r="103" spans="1:6" s="10" customFormat="1" ht="14.45" customHeight="1" x14ac:dyDescent="0.25">
      <c r="A103" s="120">
        <v>49</v>
      </c>
      <c r="B103" s="133" t="s">
        <v>52</v>
      </c>
      <c r="C103" s="25" t="s">
        <v>122</v>
      </c>
      <c r="D103" s="18">
        <v>3</v>
      </c>
      <c r="E103" s="20"/>
      <c r="F103" s="19"/>
    </row>
    <row r="104" spans="1:6" s="10" customFormat="1" ht="15" x14ac:dyDescent="0.25">
      <c r="A104" s="131"/>
      <c r="B104" s="134"/>
      <c r="C104" s="78" t="s">
        <v>110</v>
      </c>
      <c r="D104" s="20">
        <v>13</v>
      </c>
      <c r="E104" s="20"/>
      <c r="F104" s="19"/>
    </row>
    <row r="105" spans="1:6" s="10" customFormat="1" ht="15" x14ac:dyDescent="0.25">
      <c r="A105" s="121"/>
      <c r="B105" s="135"/>
      <c r="C105" s="78" t="s">
        <v>111</v>
      </c>
      <c r="D105" s="20">
        <v>1</v>
      </c>
      <c r="E105" s="20"/>
      <c r="F105" s="19"/>
    </row>
    <row r="106" spans="1:6" s="10" customFormat="1" ht="14.45" customHeight="1" x14ac:dyDescent="0.25">
      <c r="A106" s="120">
        <v>50</v>
      </c>
      <c r="B106" s="133" t="s">
        <v>53</v>
      </c>
      <c r="C106" s="78" t="s">
        <v>124</v>
      </c>
      <c r="D106" s="20">
        <v>1</v>
      </c>
      <c r="E106" s="20"/>
      <c r="F106" s="19"/>
    </row>
    <row r="107" spans="1:6" s="10" customFormat="1" ht="15" x14ac:dyDescent="0.25">
      <c r="A107" s="131"/>
      <c r="B107" s="134"/>
      <c r="C107" s="78" t="s">
        <v>110</v>
      </c>
      <c r="D107" s="20">
        <v>6</v>
      </c>
      <c r="E107" s="20"/>
      <c r="F107" s="19"/>
    </row>
    <row r="108" spans="1:6" s="12" customFormat="1" ht="15" x14ac:dyDescent="0.25">
      <c r="A108" s="121"/>
      <c r="B108" s="135"/>
      <c r="C108" s="25" t="s">
        <v>111</v>
      </c>
      <c r="D108" s="18">
        <v>3</v>
      </c>
      <c r="E108" s="20"/>
      <c r="F108" s="19"/>
    </row>
    <row r="109" spans="1:6" s="12" customFormat="1" ht="14.45" customHeight="1" x14ac:dyDescent="0.25">
      <c r="A109" s="120">
        <v>51</v>
      </c>
      <c r="B109" s="133" t="s">
        <v>54</v>
      </c>
      <c r="C109" s="25" t="s">
        <v>122</v>
      </c>
      <c r="D109" s="18">
        <v>3</v>
      </c>
      <c r="E109" s="20"/>
      <c r="F109" s="19"/>
    </row>
    <row r="110" spans="1:6" ht="15" x14ac:dyDescent="0.25">
      <c r="A110" s="121"/>
      <c r="B110" s="135"/>
      <c r="C110" s="25" t="s">
        <v>110</v>
      </c>
      <c r="D110" s="18">
        <v>5</v>
      </c>
      <c r="E110" s="20"/>
      <c r="F110" s="19"/>
    </row>
    <row r="111" spans="1:6" ht="14.45" customHeight="1" x14ac:dyDescent="0.25">
      <c r="A111" s="120">
        <v>52</v>
      </c>
      <c r="B111" s="133" t="s">
        <v>55</v>
      </c>
      <c r="C111" s="25" t="s">
        <v>110</v>
      </c>
      <c r="D111" s="18">
        <v>3</v>
      </c>
      <c r="E111" s="20"/>
      <c r="F111" s="19"/>
    </row>
    <row r="112" spans="1:6" s="10" customFormat="1" ht="24" customHeight="1" x14ac:dyDescent="0.25">
      <c r="A112" s="121"/>
      <c r="B112" s="135"/>
      <c r="C112" s="25" t="s">
        <v>111</v>
      </c>
      <c r="D112" s="18">
        <v>3</v>
      </c>
      <c r="E112" s="20"/>
      <c r="F112" s="19"/>
    </row>
    <row r="113" spans="1:6" s="10" customFormat="1" ht="15" x14ac:dyDescent="0.25">
      <c r="A113" s="120">
        <v>53</v>
      </c>
      <c r="B113" s="136" t="s">
        <v>56</v>
      </c>
      <c r="C113" s="25" t="s">
        <v>110</v>
      </c>
      <c r="D113" s="20">
        <v>3</v>
      </c>
      <c r="E113" s="20"/>
      <c r="F113" s="19"/>
    </row>
    <row r="114" spans="1:6" s="10" customFormat="1" ht="15" x14ac:dyDescent="0.25">
      <c r="A114" s="121"/>
      <c r="B114" s="137"/>
      <c r="C114" s="25" t="s">
        <v>111</v>
      </c>
      <c r="D114" s="20">
        <v>1</v>
      </c>
      <c r="E114" s="20"/>
      <c r="F114" s="19"/>
    </row>
    <row r="115" spans="1:6" s="10" customFormat="1" ht="15" x14ac:dyDescent="0.25">
      <c r="A115" s="21">
        <v>54</v>
      </c>
      <c r="B115" s="24" t="s">
        <v>57</v>
      </c>
      <c r="C115" s="25" t="s">
        <v>110</v>
      </c>
      <c r="D115" s="18">
        <v>1</v>
      </c>
      <c r="E115" s="20"/>
      <c r="F115" s="19"/>
    </row>
    <row r="116" spans="1:6" s="10" customFormat="1" ht="15" x14ac:dyDescent="0.25">
      <c r="A116" s="21">
        <v>55</v>
      </c>
      <c r="B116" s="24" t="s">
        <v>58</v>
      </c>
      <c r="C116" s="25" t="s">
        <v>110</v>
      </c>
      <c r="D116" s="18">
        <v>9</v>
      </c>
      <c r="E116" s="20"/>
      <c r="F116" s="19"/>
    </row>
    <row r="117" spans="1:6" s="10" customFormat="1" ht="15" x14ac:dyDescent="0.25">
      <c r="A117" s="120">
        <v>56</v>
      </c>
      <c r="B117" s="133" t="s">
        <v>59</v>
      </c>
      <c r="C117" s="25" t="s">
        <v>110</v>
      </c>
      <c r="D117" s="18">
        <v>5</v>
      </c>
      <c r="E117" s="20"/>
      <c r="F117" s="19"/>
    </row>
    <row r="118" spans="1:6" s="10" customFormat="1" ht="15" x14ac:dyDescent="0.25">
      <c r="A118" s="121"/>
      <c r="B118" s="135"/>
      <c r="C118" s="25" t="s">
        <v>111</v>
      </c>
      <c r="D118" s="31">
        <v>7</v>
      </c>
      <c r="E118" s="20"/>
      <c r="F118" s="19"/>
    </row>
    <row r="119" spans="1:6" s="10" customFormat="1" ht="15" x14ac:dyDescent="0.25">
      <c r="A119" s="21">
        <v>57</v>
      </c>
      <c r="B119" s="24" t="s">
        <v>60</v>
      </c>
      <c r="C119" s="25" t="s">
        <v>110</v>
      </c>
      <c r="D119" s="70">
        <v>4</v>
      </c>
      <c r="E119" s="20"/>
      <c r="F119" s="19"/>
    </row>
    <row r="120" spans="1:6" s="10" customFormat="1" ht="14.45" customHeight="1" x14ac:dyDescent="0.25">
      <c r="A120" s="120">
        <v>58</v>
      </c>
      <c r="B120" s="133" t="s">
        <v>61</v>
      </c>
      <c r="C120" s="25" t="s">
        <v>122</v>
      </c>
      <c r="D120" s="64">
        <v>3</v>
      </c>
      <c r="E120" s="20"/>
      <c r="F120" s="19"/>
    </row>
    <row r="121" spans="1:6" s="10" customFormat="1" ht="15" x14ac:dyDescent="0.25">
      <c r="A121" s="131"/>
      <c r="B121" s="134"/>
      <c r="C121" s="25" t="s">
        <v>110</v>
      </c>
      <c r="D121" s="65">
        <v>12</v>
      </c>
      <c r="E121" s="20"/>
      <c r="F121" s="19"/>
    </row>
    <row r="122" spans="1:6" s="10" customFormat="1" ht="15" x14ac:dyDescent="0.25">
      <c r="A122" s="121"/>
      <c r="B122" s="135"/>
      <c r="C122" s="25" t="s">
        <v>111</v>
      </c>
      <c r="D122" s="65">
        <v>8</v>
      </c>
      <c r="E122" s="20"/>
      <c r="F122" s="19"/>
    </row>
    <row r="123" spans="1:6" s="10" customFormat="1" ht="15" x14ac:dyDescent="0.25">
      <c r="A123" s="120">
        <v>59</v>
      </c>
      <c r="B123" s="133" t="s">
        <v>62</v>
      </c>
      <c r="C123" s="25" t="s">
        <v>110</v>
      </c>
      <c r="D123" s="65">
        <v>1</v>
      </c>
      <c r="E123" s="20"/>
      <c r="F123" s="19"/>
    </row>
    <row r="124" spans="1:6" s="10" customFormat="1" ht="15" x14ac:dyDescent="0.25">
      <c r="A124" s="121"/>
      <c r="B124" s="135"/>
      <c r="C124" s="25" t="s">
        <v>111</v>
      </c>
      <c r="D124" s="64">
        <v>1</v>
      </c>
      <c r="E124" s="20"/>
      <c r="F124" s="19"/>
    </row>
    <row r="125" spans="1:6" s="10" customFormat="1" ht="15" x14ac:dyDescent="0.25">
      <c r="A125" s="120">
        <v>60</v>
      </c>
      <c r="B125" s="133" t="s">
        <v>63</v>
      </c>
      <c r="C125" s="25" t="s">
        <v>137</v>
      </c>
      <c r="D125" s="64">
        <v>2</v>
      </c>
      <c r="E125" s="20"/>
      <c r="F125" s="19"/>
    </row>
    <row r="126" spans="1:6" s="10" customFormat="1" ht="15" x14ac:dyDescent="0.25">
      <c r="A126" s="131"/>
      <c r="B126" s="134"/>
      <c r="C126" s="25" t="s">
        <v>122</v>
      </c>
      <c r="D126" s="64">
        <v>22</v>
      </c>
      <c r="E126" s="20"/>
      <c r="F126" s="19"/>
    </row>
    <row r="127" spans="1:6" s="10" customFormat="1" ht="15" x14ac:dyDescent="0.25">
      <c r="A127" s="131"/>
      <c r="B127" s="134"/>
      <c r="C127" s="25" t="s">
        <v>110</v>
      </c>
      <c r="D127" s="64">
        <v>48</v>
      </c>
      <c r="E127" s="20"/>
      <c r="F127" s="19"/>
    </row>
    <row r="128" spans="1:6" s="10" customFormat="1" ht="15" x14ac:dyDescent="0.25">
      <c r="A128" s="131"/>
      <c r="B128" s="134"/>
      <c r="C128" s="25" t="s">
        <v>111</v>
      </c>
      <c r="D128" s="64">
        <v>61</v>
      </c>
      <c r="E128" s="20"/>
      <c r="F128" s="19"/>
    </row>
    <row r="129" spans="1:6" s="10" customFormat="1" ht="15" x14ac:dyDescent="0.25">
      <c r="A129" s="121"/>
      <c r="B129" s="135"/>
      <c r="C129" s="25" t="s">
        <v>138</v>
      </c>
      <c r="D129" s="73">
        <v>5</v>
      </c>
      <c r="E129" s="20"/>
      <c r="F129" s="19"/>
    </row>
    <row r="130" spans="1:6" s="10" customFormat="1" ht="15" x14ac:dyDescent="0.25">
      <c r="A130" s="120">
        <v>61</v>
      </c>
      <c r="B130" s="133" t="s">
        <v>64</v>
      </c>
      <c r="C130" s="25" t="s">
        <v>122</v>
      </c>
      <c r="D130" s="71">
        <v>30</v>
      </c>
      <c r="E130" s="20"/>
      <c r="F130" s="19"/>
    </row>
    <row r="131" spans="1:6" s="10" customFormat="1" ht="15" x14ac:dyDescent="0.25">
      <c r="A131" s="121"/>
      <c r="B131" s="135"/>
      <c r="C131" s="25" t="s">
        <v>111</v>
      </c>
      <c r="D131" s="72">
        <v>5</v>
      </c>
      <c r="E131" s="20"/>
      <c r="F131" s="19"/>
    </row>
    <row r="132" spans="1:6" s="10" customFormat="1" ht="15" x14ac:dyDescent="0.25">
      <c r="A132" s="120">
        <v>62</v>
      </c>
      <c r="B132" s="136" t="s">
        <v>65</v>
      </c>
      <c r="C132" s="25" t="s">
        <v>122</v>
      </c>
      <c r="D132" s="72">
        <v>1</v>
      </c>
      <c r="E132" s="20"/>
      <c r="F132" s="19"/>
    </row>
    <row r="133" spans="1:6" s="10" customFormat="1" ht="15" x14ac:dyDescent="0.25">
      <c r="A133" s="121"/>
      <c r="B133" s="137"/>
      <c r="C133" s="25" t="s">
        <v>110</v>
      </c>
      <c r="D133" s="40">
        <v>4</v>
      </c>
      <c r="E133" s="20"/>
      <c r="F133" s="19"/>
    </row>
    <row r="134" spans="1:6" s="10" customFormat="1" ht="14.45" customHeight="1" x14ac:dyDescent="0.25">
      <c r="A134" s="120">
        <v>63</v>
      </c>
      <c r="B134" s="133" t="s">
        <v>66</v>
      </c>
      <c r="C134" s="25" t="s">
        <v>122</v>
      </c>
      <c r="D134" s="40">
        <v>3</v>
      </c>
      <c r="E134" s="20"/>
      <c r="F134" s="19"/>
    </row>
    <row r="135" spans="1:6" s="10" customFormat="1" ht="15" x14ac:dyDescent="0.25">
      <c r="A135" s="131"/>
      <c r="B135" s="134"/>
      <c r="C135" s="25" t="s">
        <v>110</v>
      </c>
      <c r="D135" s="40">
        <v>9</v>
      </c>
      <c r="E135" s="20"/>
      <c r="F135" s="19"/>
    </row>
    <row r="136" spans="1:6" s="10" customFormat="1" ht="15" x14ac:dyDescent="0.25">
      <c r="A136" s="121"/>
      <c r="B136" s="135"/>
      <c r="C136" s="25" t="s">
        <v>111</v>
      </c>
      <c r="D136" s="60">
        <v>14</v>
      </c>
      <c r="E136" s="20"/>
      <c r="F136" s="19"/>
    </row>
    <row r="137" spans="1:6" s="14" customFormat="1" ht="15.75" x14ac:dyDescent="0.25">
      <c r="A137" s="13"/>
      <c r="B137" s="13"/>
      <c r="C137" s="13"/>
      <c r="D137" s="39"/>
    </row>
    <row r="138" spans="1:6" ht="15.75" x14ac:dyDescent="0.2">
      <c r="B138" s="15"/>
      <c r="C138" s="15"/>
      <c r="D138" s="39"/>
    </row>
    <row r="139" spans="1:6" ht="15.75" x14ac:dyDescent="0.2">
      <c r="B139" s="15"/>
      <c r="C139" s="15"/>
      <c r="D139" s="39"/>
    </row>
    <row r="140" spans="1:6" ht="15.75" x14ac:dyDescent="0.2">
      <c r="B140" s="15"/>
      <c r="C140" s="15"/>
      <c r="D140" s="39"/>
    </row>
    <row r="141" spans="1:6" ht="15.75" x14ac:dyDescent="0.2">
      <c r="A141" s="9"/>
      <c r="B141" s="15"/>
      <c r="C141" s="15"/>
    </row>
    <row r="142" spans="1:6" ht="15.75" x14ac:dyDescent="0.2">
      <c r="A142" s="9"/>
      <c r="B142" s="15"/>
      <c r="C142" s="15"/>
    </row>
    <row r="143" spans="1:6" ht="15.75" x14ac:dyDescent="0.2">
      <c r="A143" s="9"/>
      <c r="B143" s="15"/>
      <c r="C143" s="15"/>
    </row>
    <row r="144" spans="1:6" ht="15.75" x14ac:dyDescent="0.2">
      <c r="A144" s="9"/>
      <c r="B144" s="15"/>
      <c r="C144" s="15"/>
    </row>
  </sheetData>
  <mergeCells count="100">
    <mergeCell ref="B113:B114"/>
    <mergeCell ref="B132:B133"/>
    <mergeCell ref="A22:A23"/>
    <mergeCell ref="B86:B87"/>
    <mergeCell ref="A132:A133"/>
    <mergeCell ref="A109:A110"/>
    <mergeCell ref="A103:A105"/>
    <mergeCell ref="A97:A99"/>
    <mergeCell ref="B117:B118"/>
    <mergeCell ref="B109:B110"/>
    <mergeCell ref="A125:A129"/>
    <mergeCell ref="A72:A73"/>
    <mergeCell ref="A93:A95"/>
    <mergeCell ref="A74:A75"/>
    <mergeCell ref="A82:A83"/>
    <mergeCell ref="A86:A87"/>
    <mergeCell ref="A130:A131"/>
    <mergeCell ref="B100:B102"/>
    <mergeCell ref="A19:A21"/>
    <mergeCell ref="A30:A32"/>
    <mergeCell ref="B30:B32"/>
    <mergeCell ref="A47:A49"/>
    <mergeCell ref="A50:A51"/>
    <mergeCell ref="B50:B51"/>
    <mergeCell ref="A52:A53"/>
    <mergeCell ref="B52:B53"/>
    <mergeCell ref="A54:A55"/>
    <mergeCell ref="B54:B55"/>
    <mergeCell ref="A59:A60"/>
    <mergeCell ref="B59:B60"/>
    <mergeCell ref="A113:A114"/>
    <mergeCell ref="A44:A46"/>
    <mergeCell ref="A41:A43"/>
    <mergeCell ref="A27:A29"/>
    <mergeCell ref="A57:A58"/>
    <mergeCell ref="A80:A81"/>
    <mergeCell ref="A69:A70"/>
    <mergeCell ref="A64:A65"/>
    <mergeCell ref="A66:A67"/>
    <mergeCell ref="A84:A85"/>
    <mergeCell ref="A62:A63"/>
    <mergeCell ref="B134:B136"/>
    <mergeCell ref="A134:A136"/>
    <mergeCell ref="B97:B99"/>
    <mergeCell ref="B111:B112"/>
    <mergeCell ref="A111:A112"/>
    <mergeCell ref="B120:B122"/>
    <mergeCell ref="A120:A122"/>
    <mergeCell ref="B103:B105"/>
    <mergeCell ref="B106:B108"/>
    <mergeCell ref="A106:A108"/>
    <mergeCell ref="B123:B124"/>
    <mergeCell ref="A123:A124"/>
    <mergeCell ref="B130:B131"/>
    <mergeCell ref="B125:B129"/>
    <mergeCell ref="A117:A118"/>
    <mergeCell ref="A100:A102"/>
    <mergeCell ref="B1:D1"/>
    <mergeCell ref="C4:D5"/>
    <mergeCell ref="E4:E6"/>
    <mergeCell ref="B2:D2"/>
    <mergeCell ref="B72:B73"/>
    <mergeCell ref="B10:B11"/>
    <mergeCell ref="B8:B9"/>
    <mergeCell ref="B44:B46"/>
    <mergeCell ref="B41:B43"/>
    <mergeCell ref="B16:B18"/>
    <mergeCell ref="B27:B29"/>
    <mergeCell ref="B19:B21"/>
    <mergeCell ref="B22:B23"/>
    <mergeCell ref="B69:B70"/>
    <mergeCell ref="B24:B25"/>
    <mergeCell ref="B33:B35"/>
    <mergeCell ref="B93:B95"/>
    <mergeCell ref="B62:B63"/>
    <mergeCell ref="B47:B49"/>
    <mergeCell ref="B80:B81"/>
    <mergeCell ref="B84:B85"/>
    <mergeCell ref="B74:B75"/>
    <mergeCell ref="B57:B58"/>
    <mergeCell ref="B64:B65"/>
    <mergeCell ref="B66:B67"/>
    <mergeCell ref="B89:B90"/>
    <mergeCell ref="B77:B79"/>
    <mergeCell ref="A89:A90"/>
    <mergeCell ref="F4:F6"/>
    <mergeCell ref="A7:B7"/>
    <mergeCell ref="A4:A5"/>
    <mergeCell ref="B4:B5"/>
    <mergeCell ref="A16:A18"/>
    <mergeCell ref="A10:A11"/>
    <mergeCell ref="A8:A9"/>
    <mergeCell ref="B12:B14"/>
    <mergeCell ref="A12:A14"/>
    <mergeCell ref="B82:B83"/>
    <mergeCell ref="A24:A25"/>
    <mergeCell ref="A33:A35"/>
    <mergeCell ref="A37:A39"/>
    <mergeCell ref="B37:B39"/>
    <mergeCell ref="A77:A79"/>
  </mergeCells>
  <pageMargins left="0.7" right="0.7" top="0.75" bottom="0.75" header="0.3" footer="0.3"/>
  <pageSetup paperSize="9" orientation="portrait" r:id="rId1"/>
  <headerFooter differentFirst="1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67"/>
  <sheetViews>
    <sheetView view="pageLayout" zoomScaleNormal="100" workbookViewId="0">
      <selection activeCell="B2" sqref="B2:J2"/>
    </sheetView>
  </sheetViews>
  <sheetFormatPr defaultRowHeight="15" x14ac:dyDescent="0.25"/>
  <cols>
    <col min="1" max="1" width="5.140625" customWidth="1"/>
    <col min="2" max="2" width="17.5703125" customWidth="1"/>
    <col min="3" max="3" width="9.7109375" customWidth="1"/>
    <col min="4" max="4" width="12.7109375" customWidth="1"/>
    <col min="5" max="5" width="12.42578125" customWidth="1"/>
    <col min="6" max="6" width="13.7109375" customWidth="1"/>
    <col min="7" max="7" width="12.28515625" customWidth="1"/>
    <col min="8" max="8" width="10.140625" customWidth="1"/>
    <col min="9" max="9" width="13.28515625" customWidth="1"/>
    <col min="10" max="10" width="11.28515625" customWidth="1"/>
    <col min="11" max="11" width="12.140625" customWidth="1"/>
  </cols>
  <sheetData>
    <row r="2" spans="1:14" x14ac:dyDescent="0.25">
      <c r="A2" s="148" t="s">
        <v>0</v>
      </c>
      <c r="B2" s="153" t="s">
        <v>71</v>
      </c>
      <c r="C2" s="153"/>
      <c r="D2" s="153"/>
      <c r="E2" s="153"/>
      <c r="F2" s="153"/>
      <c r="G2" s="153"/>
      <c r="H2" s="153"/>
      <c r="I2" s="153"/>
      <c r="J2" s="153"/>
      <c r="K2" s="41"/>
    </row>
    <row r="3" spans="1:14" x14ac:dyDescent="0.25">
      <c r="A3" s="149"/>
      <c r="B3" s="157" t="s">
        <v>108</v>
      </c>
      <c r="C3" s="154" t="s">
        <v>77</v>
      </c>
      <c r="D3" s="155"/>
      <c r="E3" s="155"/>
      <c r="F3" s="155"/>
      <c r="G3" s="156"/>
      <c r="H3" s="154" t="s">
        <v>78</v>
      </c>
      <c r="I3" s="155"/>
      <c r="J3" s="155"/>
      <c r="K3" s="156"/>
    </row>
    <row r="4" spans="1:14" ht="60" x14ac:dyDescent="0.25">
      <c r="A4" s="150"/>
      <c r="B4" s="158"/>
      <c r="C4" s="82" t="s">
        <v>72</v>
      </c>
      <c r="D4" s="82" t="s">
        <v>73</v>
      </c>
      <c r="E4" s="82" t="s">
        <v>74</v>
      </c>
      <c r="F4" s="82" t="s">
        <v>75</v>
      </c>
      <c r="G4" s="82" t="s">
        <v>76</v>
      </c>
      <c r="H4" s="82" t="s">
        <v>72</v>
      </c>
      <c r="I4" s="82" t="s">
        <v>73</v>
      </c>
      <c r="J4" s="82" t="s">
        <v>74</v>
      </c>
      <c r="K4" s="82" t="s">
        <v>76</v>
      </c>
    </row>
    <row r="5" spans="1:14" x14ac:dyDescent="0.25">
      <c r="A5" s="43">
        <v>1</v>
      </c>
      <c r="B5" s="24" t="s">
        <v>5</v>
      </c>
      <c r="C5" s="41">
        <v>5</v>
      </c>
      <c r="D5" s="41">
        <v>5</v>
      </c>
      <c r="E5" s="41">
        <v>5</v>
      </c>
      <c r="F5" s="41">
        <v>2</v>
      </c>
      <c r="G5" s="41">
        <v>2</v>
      </c>
      <c r="H5" s="41">
        <v>72</v>
      </c>
      <c r="I5" s="41">
        <v>63</v>
      </c>
      <c r="J5" s="41">
        <v>72</v>
      </c>
      <c r="K5" s="41">
        <v>60</v>
      </c>
    </row>
    <row r="6" spans="1:14" ht="30" x14ac:dyDescent="0.25">
      <c r="A6" s="43">
        <v>2</v>
      </c>
      <c r="B6" s="24" t="s">
        <v>6</v>
      </c>
      <c r="C6" s="41">
        <v>7</v>
      </c>
      <c r="D6" s="41">
        <v>7</v>
      </c>
      <c r="E6" s="41"/>
      <c r="F6" s="41"/>
      <c r="G6" s="41"/>
      <c r="H6" s="41"/>
      <c r="I6" s="41"/>
      <c r="J6" s="41"/>
      <c r="K6" s="41"/>
      <c r="N6" s="151"/>
    </row>
    <row r="7" spans="1:14" x14ac:dyDescent="0.25">
      <c r="A7" s="43">
        <v>3</v>
      </c>
      <c r="B7" s="24" t="s">
        <v>7</v>
      </c>
      <c r="C7" s="41">
        <v>5</v>
      </c>
      <c r="D7" s="41">
        <v>5</v>
      </c>
      <c r="E7" s="41">
        <v>5</v>
      </c>
      <c r="F7" s="41">
        <v>5</v>
      </c>
      <c r="G7" s="41">
        <v>5</v>
      </c>
      <c r="H7" s="41">
        <v>72</v>
      </c>
      <c r="I7" s="41">
        <v>72</v>
      </c>
      <c r="J7" s="41">
        <v>72</v>
      </c>
      <c r="K7" s="41">
        <v>72</v>
      </c>
      <c r="N7" s="152"/>
    </row>
    <row r="8" spans="1:14" x14ac:dyDescent="0.25">
      <c r="A8" s="43">
        <v>4</v>
      </c>
      <c r="B8" s="24" t="s">
        <v>8</v>
      </c>
      <c r="C8" s="41">
        <v>5</v>
      </c>
      <c r="D8" s="41">
        <v>5</v>
      </c>
      <c r="E8" s="41">
        <v>5</v>
      </c>
      <c r="F8" s="41">
        <v>5</v>
      </c>
      <c r="G8" s="41">
        <v>5</v>
      </c>
      <c r="H8" s="41">
        <v>66</v>
      </c>
      <c r="I8" s="41">
        <v>66</v>
      </c>
      <c r="J8" s="41">
        <v>66</v>
      </c>
      <c r="K8" s="41">
        <v>66</v>
      </c>
    </row>
    <row r="9" spans="1:14" x14ac:dyDescent="0.25">
      <c r="A9" s="43">
        <v>5</v>
      </c>
      <c r="B9" s="24" t="s">
        <v>9</v>
      </c>
      <c r="C9" s="41">
        <v>8</v>
      </c>
      <c r="D9" s="41">
        <v>8</v>
      </c>
      <c r="E9" s="41">
        <v>8</v>
      </c>
      <c r="F9" s="41">
        <v>8</v>
      </c>
      <c r="G9" s="41">
        <v>8</v>
      </c>
      <c r="H9" s="41">
        <v>53</v>
      </c>
      <c r="I9" s="41">
        <v>53</v>
      </c>
      <c r="J9" s="41">
        <v>53</v>
      </c>
      <c r="K9" s="41">
        <v>50</v>
      </c>
    </row>
    <row r="10" spans="1:14" x14ac:dyDescent="0.25">
      <c r="A10" s="43">
        <v>6</v>
      </c>
      <c r="B10" s="24" t="s">
        <v>10</v>
      </c>
      <c r="C10" s="41">
        <v>5</v>
      </c>
      <c r="D10" s="41">
        <v>5</v>
      </c>
      <c r="E10" s="41">
        <v>5</v>
      </c>
      <c r="F10" s="41">
        <v>1</v>
      </c>
      <c r="G10" s="41">
        <v>1</v>
      </c>
      <c r="H10" s="41">
        <v>40</v>
      </c>
      <c r="I10" s="41">
        <v>40</v>
      </c>
      <c r="J10" s="41">
        <v>40</v>
      </c>
      <c r="K10" s="41">
        <v>20</v>
      </c>
    </row>
    <row r="11" spans="1:14" x14ac:dyDescent="0.25">
      <c r="A11" s="43">
        <v>7</v>
      </c>
      <c r="B11" s="24" t="s">
        <v>11</v>
      </c>
      <c r="C11" s="41">
        <v>5</v>
      </c>
      <c r="D11" s="41">
        <v>4</v>
      </c>
      <c r="E11" s="41">
        <v>5</v>
      </c>
      <c r="F11" s="41">
        <v>3</v>
      </c>
      <c r="G11" s="41">
        <v>3</v>
      </c>
      <c r="H11" s="41">
        <v>49</v>
      </c>
      <c r="I11" s="41">
        <v>49</v>
      </c>
      <c r="J11" s="41">
        <v>49</v>
      </c>
      <c r="K11" s="41">
        <v>49</v>
      </c>
    </row>
    <row r="12" spans="1:14" x14ac:dyDescent="0.25">
      <c r="A12" s="43">
        <v>8</v>
      </c>
      <c r="B12" s="24" t="s">
        <v>12</v>
      </c>
      <c r="C12" s="41">
        <v>5</v>
      </c>
      <c r="D12" s="41">
        <v>5</v>
      </c>
      <c r="E12" s="41">
        <v>5</v>
      </c>
      <c r="F12" s="41">
        <v>5</v>
      </c>
      <c r="G12" s="41">
        <v>5</v>
      </c>
      <c r="H12" s="41">
        <v>65</v>
      </c>
      <c r="I12" s="41">
        <v>65</v>
      </c>
      <c r="J12" s="41">
        <v>65</v>
      </c>
      <c r="K12" s="41">
        <v>65</v>
      </c>
    </row>
    <row r="13" spans="1:14" x14ac:dyDescent="0.25">
      <c r="A13" s="43">
        <v>9</v>
      </c>
      <c r="B13" s="24" t="s">
        <v>13</v>
      </c>
      <c r="C13" s="41">
        <v>5</v>
      </c>
      <c r="D13" s="41">
        <v>5</v>
      </c>
      <c r="E13" s="41">
        <v>5</v>
      </c>
      <c r="F13" s="41">
        <v>5</v>
      </c>
      <c r="G13" s="41"/>
      <c r="H13" s="41"/>
      <c r="I13" s="41"/>
      <c r="J13" s="41"/>
      <c r="K13" s="41"/>
    </row>
    <row r="14" spans="1:14" x14ac:dyDescent="0.25">
      <c r="A14" s="43">
        <v>10</v>
      </c>
      <c r="B14" s="59" t="s">
        <v>130</v>
      </c>
      <c r="C14" s="41">
        <v>9</v>
      </c>
      <c r="D14" s="41">
        <v>9</v>
      </c>
      <c r="E14" s="41">
        <v>9</v>
      </c>
      <c r="F14" s="41">
        <v>5</v>
      </c>
      <c r="G14" s="41">
        <v>7</v>
      </c>
      <c r="H14" s="41">
        <v>107</v>
      </c>
      <c r="I14" s="41">
        <v>107</v>
      </c>
      <c r="J14" s="41">
        <v>107</v>
      </c>
      <c r="K14" s="41">
        <v>53</v>
      </c>
    </row>
    <row r="15" spans="1:14" x14ac:dyDescent="0.25">
      <c r="A15" s="43">
        <v>11</v>
      </c>
      <c r="B15" s="24" t="s">
        <v>14</v>
      </c>
      <c r="C15" s="41">
        <v>5</v>
      </c>
      <c r="D15" s="41">
        <v>5</v>
      </c>
      <c r="E15" s="41">
        <v>5</v>
      </c>
      <c r="F15" s="41"/>
      <c r="G15" s="41"/>
      <c r="H15" s="41"/>
      <c r="I15" s="41"/>
      <c r="J15" s="41"/>
      <c r="K15" s="41"/>
    </row>
    <row r="16" spans="1:14" x14ac:dyDescent="0.25">
      <c r="A16" s="43">
        <v>12</v>
      </c>
      <c r="B16" s="24" t="s">
        <v>15</v>
      </c>
      <c r="C16" s="41">
        <v>6</v>
      </c>
      <c r="D16" s="41">
        <v>6</v>
      </c>
      <c r="E16" s="41">
        <v>6</v>
      </c>
      <c r="F16" s="41">
        <v>5</v>
      </c>
      <c r="G16" s="41">
        <v>5</v>
      </c>
      <c r="H16" s="41">
        <v>64</v>
      </c>
      <c r="I16" s="41">
        <v>64</v>
      </c>
      <c r="J16" s="41">
        <v>64</v>
      </c>
      <c r="K16" s="41">
        <v>52</v>
      </c>
    </row>
    <row r="17" spans="1:11" x14ac:dyDescent="0.25">
      <c r="A17" s="43">
        <v>13</v>
      </c>
      <c r="B17" s="24" t="s">
        <v>16</v>
      </c>
      <c r="C17" s="41">
        <v>5</v>
      </c>
      <c r="D17" s="41"/>
      <c r="E17" s="41"/>
      <c r="F17" s="41"/>
      <c r="G17" s="41"/>
      <c r="H17" s="41"/>
      <c r="I17" s="41"/>
      <c r="J17" s="41"/>
      <c r="K17" s="41"/>
    </row>
    <row r="18" spans="1:11" x14ac:dyDescent="0.25">
      <c r="A18" s="43">
        <v>14</v>
      </c>
      <c r="B18" s="24" t="s">
        <v>17</v>
      </c>
      <c r="C18" s="41">
        <v>5</v>
      </c>
      <c r="D18" s="41">
        <v>3</v>
      </c>
      <c r="E18" s="41">
        <v>3</v>
      </c>
      <c r="F18" s="41">
        <v>0</v>
      </c>
      <c r="G18" s="41">
        <v>3</v>
      </c>
      <c r="H18" s="41">
        <v>75</v>
      </c>
      <c r="I18" s="41">
        <v>20</v>
      </c>
      <c r="J18" s="41">
        <v>74</v>
      </c>
      <c r="K18" s="41">
        <v>57</v>
      </c>
    </row>
    <row r="19" spans="1:11" x14ac:dyDescent="0.25">
      <c r="A19" s="43">
        <v>15</v>
      </c>
      <c r="B19" s="24" t="s">
        <v>18</v>
      </c>
      <c r="C19" s="41">
        <v>4</v>
      </c>
      <c r="D19" s="41">
        <v>4</v>
      </c>
      <c r="E19" s="41">
        <v>4</v>
      </c>
      <c r="F19" s="41">
        <v>4</v>
      </c>
      <c r="G19" s="41">
        <v>4</v>
      </c>
      <c r="H19" s="41">
        <v>36</v>
      </c>
      <c r="I19" s="41">
        <v>30</v>
      </c>
      <c r="J19" s="41">
        <v>27</v>
      </c>
      <c r="K19" s="41">
        <v>36</v>
      </c>
    </row>
    <row r="20" spans="1:11" x14ac:dyDescent="0.25">
      <c r="A20" s="43">
        <v>16</v>
      </c>
      <c r="B20" s="24" t="s">
        <v>19</v>
      </c>
      <c r="C20" s="41">
        <v>5</v>
      </c>
      <c r="D20" s="41">
        <v>5</v>
      </c>
      <c r="E20" s="41">
        <v>5</v>
      </c>
      <c r="F20" s="41">
        <v>5</v>
      </c>
      <c r="G20" s="41">
        <v>5</v>
      </c>
      <c r="H20" s="41">
        <v>93</v>
      </c>
      <c r="I20" s="41">
        <v>93</v>
      </c>
      <c r="J20" s="41">
        <v>93</v>
      </c>
      <c r="K20" s="41">
        <v>93</v>
      </c>
    </row>
    <row r="21" spans="1:11" x14ac:dyDescent="0.25">
      <c r="A21" s="43">
        <v>17</v>
      </c>
      <c r="B21" s="24" t="s">
        <v>20</v>
      </c>
      <c r="C21" s="41">
        <v>4</v>
      </c>
      <c r="D21" s="41">
        <v>4</v>
      </c>
      <c r="E21" s="41">
        <v>4</v>
      </c>
      <c r="F21" s="41">
        <v>4</v>
      </c>
      <c r="G21" s="41"/>
      <c r="H21" s="41">
        <v>15</v>
      </c>
      <c r="I21" s="41">
        <v>11</v>
      </c>
      <c r="J21" s="41">
        <v>14</v>
      </c>
      <c r="K21" s="41">
        <v>13</v>
      </c>
    </row>
    <row r="22" spans="1:11" x14ac:dyDescent="0.25">
      <c r="A22" s="43">
        <v>18</v>
      </c>
      <c r="B22" s="24" t="s">
        <v>21</v>
      </c>
      <c r="C22" s="41">
        <v>6</v>
      </c>
      <c r="D22" s="41">
        <v>5</v>
      </c>
      <c r="E22" s="41">
        <v>5</v>
      </c>
      <c r="F22" s="41">
        <v>3</v>
      </c>
      <c r="G22" s="41">
        <v>2</v>
      </c>
      <c r="H22" s="41">
        <v>895</v>
      </c>
      <c r="I22" s="41">
        <v>869</v>
      </c>
      <c r="J22" s="41">
        <v>888</v>
      </c>
      <c r="K22" s="41">
        <v>38</v>
      </c>
    </row>
    <row r="23" spans="1:11" x14ac:dyDescent="0.25">
      <c r="A23" s="43">
        <v>19</v>
      </c>
      <c r="B23" s="24" t="s">
        <v>22</v>
      </c>
      <c r="C23" s="41">
        <v>6</v>
      </c>
      <c r="D23" s="41">
        <v>6</v>
      </c>
      <c r="E23" s="41">
        <v>9</v>
      </c>
      <c r="F23" s="41">
        <v>4</v>
      </c>
      <c r="G23" s="41">
        <v>2</v>
      </c>
      <c r="H23" s="41">
        <v>75</v>
      </c>
      <c r="I23" s="41">
        <v>75</v>
      </c>
      <c r="J23" s="41">
        <v>75</v>
      </c>
      <c r="K23" s="41">
        <v>58</v>
      </c>
    </row>
    <row r="24" spans="1:11" x14ac:dyDescent="0.25">
      <c r="A24" s="43">
        <v>20</v>
      </c>
      <c r="B24" s="24" t="s">
        <v>23</v>
      </c>
      <c r="C24" s="41">
        <v>5</v>
      </c>
      <c r="D24" s="41">
        <v>5</v>
      </c>
      <c r="E24" s="41">
        <v>5</v>
      </c>
      <c r="F24" s="41">
        <v>5</v>
      </c>
      <c r="G24" s="41">
        <v>5</v>
      </c>
      <c r="H24" s="41">
        <v>60</v>
      </c>
      <c r="I24" s="41">
        <v>60</v>
      </c>
      <c r="J24" s="41">
        <v>60</v>
      </c>
      <c r="K24" s="41">
        <v>60</v>
      </c>
    </row>
    <row r="25" spans="1:11" x14ac:dyDescent="0.25">
      <c r="A25" s="43">
        <v>21</v>
      </c>
      <c r="B25" s="24" t="s">
        <v>24</v>
      </c>
      <c r="C25" s="41">
        <v>5</v>
      </c>
      <c r="D25" s="41">
        <v>3</v>
      </c>
      <c r="E25" s="41">
        <v>3</v>
      </c>
      <c r="F25" s="41">
        <v>2</v>
      </c>
      <c r="G25" s="41">
        <v>4</v>
      </c>
      <c r="H25" s="41">
        <v>31</v>
      </c>
      <c r="I25" s="41">
        <v>25</v>
      </c>
      <c r="J25" s="41">
        <v>31</v>
      </c>
      <c r="K25" s="41">
        <v>31</v>
      </c>
    </row>
    <row r="26" spans="1:11" x14ac:dyDescent="0.25">
      <c r="A26" s="43">
        <v>22</v>
      </c>
      <c r="B26" s="24" t="s">
        <v>25</v>
      </c>
      <c r="C26" s="41">
        <v>5</v>
      </c>
      <c r="D26" s="41"/>
      <c r="E26" s="41"/>
      <c r="F26" s="41"/>
      <c r="G26" s="41"/>
      <c r="H26" s="41">
        <f>14+20+22+19</f>
        <v>75</v>
      </c>
      <c r="I26" s="41"/>
      <c r="J26" s="41">
        <f>H26</f>
        <v>75</v>
      </c>
      <c r="K26" s="41">
        <f>10+8+11+9</f>
        <v>38</v>
      </c>
    </row>
    <row r="27" spans="1:11" x14ac:dyDescent="0.25">
      <c r="A27" s="43">
        <v>23</v>
      </c>
      <c r="B27" s="24" t="s">
        <v>26</v>
      </c>
      <c r="C27" s="41">
        <v>3</v>
      </c>
      <c r="D27" s="41">
        <v>3</v>
      </c>
      <c r="E27" s="41">
        <v>3</v>
      </c>
      <c r="F27" s="41">
        <v>3</v>
      </c>
      <c r="G27" s="41">
        <v>3</v>
      </c>
      <c r="H27" s="41">
        <v>26</v>
      </c>
      <c r="I27" s="41">
        <v>26</v>
      </c>
      <c r="J27" s="41">
        <v>26</v>
      </c>
      <c r="K27" s="41">
        <v>26</v>
      </c>
    </row>
    <row r="28" spans="1:11" x14ac:dyDescent="0.25">
      <c r="A28" s="43">
        <v>24</v>
      </c>
      <c r="B28" s="24" t="s">
        <v>27</v>
      </c>
      <c r="C28" s="41">
        <v>160</v>
      </c>
      <c r="D28" s="41"/>
      <c r="E28" s="41"/>
      <c r="F28" s="41"/>
      <c r="G28" s="41"/>
      <c r="H28" s="41"/>
      <c r="I28" s="41"/>
      <c r="J28" s="41"/>
      <c r="K28" s="41"/>
    </row>
    <row r="29" spans="1:11" x14ac:dyDescent="0.25">
      <c r="A29" s="43">
        <v>25</v>
      </c>
      <c r="B29" s="24" t="s">
        <v>28</v>
      </c>
      <c r="C29" s="41">
        <v>5</v>
      </c>
      <c r="D29" s="41">
        <v>1</v>
      </c>
      <c r="E29" s="41">
        <v>5</v>
      </c>
      <c r="F29" s="41"/>
      <c r="G29" s="41"/>
      <c r="H29" s="41"/>
      <c r="I29" s="41"/>
      <c r="J29" s="41"/>
      <c r="K29" s="41"/>
    </row>
    <row r="30" spans="1:11" x14ac:dyDescent="0.25">
      <c r="A30" s="43">
        <v>26</v>
      </c>
      <c r="B30" s="24" t="s">
        <v>29</v>
      </c>
      <c r="C30" s="41">
        <v>6</v>
      </c>
      <c r="D30" s="41">
        <v>6</v>
      </c>
      <c r="E30" s="41">
        <v>6</v>
      </c>
      <c r="F30" s="41">
        <v>3</v>
      </c>
      <c r="G30" s="41">
        <v>4</v>
      </c>
      <c r="H30" s="41">
        <v>70</v>
      </c>
      <c r="I30" s="41">
        <v>70</v>
      </c>
      <c r="J30" s="41">
        <v>70</v>
      </c>
      <c r="K30" s="41">
        <v>70</v>
      </c>
    </row>
    <row r="31" spans="1:11" x14ac:dyDescent="0.25">
      <c r="A31" s="43">
        <v>27</v>
      </c>
      <c r="B31" s="24" t="s">
        <v>30</v>
      </c>
      <c r="C31" s="41">
        <v>5</v>
      </c>
      <c r="D31" s="41">
        <v>5</v>
      </c>
      <c r="E31" s="41">
        <v>5</v>
      </c>
      <c r="F31" s="41">
        <v>5</v>
      </c>
      <c r="G31" s="41">
        <v>5</v>
      </c>
      <c r="H31" s="41">
        <v>98</v>
      </c>
      <c r="I31" s="41">
        <v>98</v>
      </c>
      <c r="J31" s="41">
        <v>98</v>
      </c>
      <c r="K31" s="41">
        <v>98</v>
      </c>
    </row>
    <row r="32" spans="1:11" x14ac:dyDescent="0.25">
      <c r="A32" s="43">
        <v>28</v>
      </c>
      <c r="B32" s="24" t="s">
        <v>31</v>
      </c>
      <c r="C32" s="41">
        <v>5</v>
      </c>
      <c r="D32" s="41">
        <v>5</v>
      </c>
      <c r="E32" s="41">
        <v>5</v>
      </c>
      <c r="F32" s="41">
        <v>5</v>
      </c>
      <c r="G32" s="41">
        <v>5</v>
      </c>
      <c r="H32" s="41">
        <v>41</v>
      </c>
      <c r="I32" s="41">
        <v>41</v>
      </c>
      <c r="J32" s="41">
        <v>41</v>
      </c>
      <c r="K32" s="41">
        <v>41</v>
      </c>
    </row>
    <row r="33" spans="1:11" x14ac:dyDescent="0.25">
      <c r="A33" s="43">
        <v>29</v>
      </c>
      <c r="B33" s="24" t="s">
        <v>32</v>
      </c>
      <c r="C33" s="41">
        <v>4</v>
      </c>
      <c r="D33" s="41"/>
      <c r="E33" s="41"/>
      <c r="F33" s="41"/>
      <c r="G33" s="41"/>
      <c r="H33" s="41"/>
      <c r="I33" s="41"/>
      <c r="J33" s="41"/>
      <c r="K33" s="41"/>
    </row>
    <row r="34" spans="1:11" x14ac:dyDescent="0.25">
      <c r="A34" s="43">
        <v>30</v>
      </c>
      <c r="B34" s="24" t="s">
        <v>33</v>
      </c>
      <c r="C34" s="41">
        <v>5</v>
      </c>
      <c r="D34" s="41">
        <v>5</v>
      </c>
      <c r="E34" s="41">
        <v>5</v>
      </c>
      <c r="F34" s="41">
        <v>5</v>
      </c>
      <c r="G34" s="41">
        <v>5</v>
      </c>
      <c r="H34" s="41">
        <v>62</v>
      </c>
      <c r="I34" s="41">
        <v>62</v>
      </c>
      <c r="J34" s="41">
        <v>62</v>
      </c>
      <c r="K34" s="41">
        <v>31</v>
      </c>
    </row>
    <row r="35" spans="1:11" x14ac:dyDescent="0.25">
      <c r="A35" s="43">
        <v>31</v>
      </c>
      <c r="B35" s="24" t="s">
        <v>34</v>
      </c>
      <c r="C35" s="41">
        <v>3</v>
      </c>
      <c r="D35" s="41"/>
      <c r="E35" s="41"/>
      <c r="F35" s="41"/>
      <c r="G35" s="41"/>
      <c r="H35" s="41"/>
      <c r="I35" s="41"/>
      <c r="J35" s="41"/>
      <c r="K35" s="41"/>
    </row>
    <row r="36" spans="1:11" x14ac:dyDescent="0.25">
      <c r="A36" s="43">
        <v>32</v>
      </c>
      <c r="B36" s="24" t="s">
        <v>35</v>
      </c>
      <c r="C36" s="41">
        <v>5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</row>
    <row r="37" spans="1:11" x14ac:dyDescent="0.25">
      <c r="A37" s="43">
        <v>33</v>
      </c>
      <c r="B37" s="24" t="s">
        <v>36</v>
      </c>
      <c r="C37" s="41">
        <v>5</v>
      </c>
      <c r="D37" s="41">
        <v>5</v>
      </c>
      <c r="E37" s="41">
        <v>5</v>
      </c>
      <c r="F37" s="41">
        <v>5</v>
      </c>
      <c r="G37" s="41">
        <v>5</v>
      </c>
      <c r="H37" s="41">
        <v>51</v>
      </c>
      <c r="I37" s="41">
        <v>51</v>
      </c>
      <c r="J37" s="41">
        <v>51</v>
      </c>
      <c r="K37" s="41">
        <v>27</v>
      </c>
    </row>
    <row r="38" spans="1:11" ht="20.25" customHeight="1" x14ac:dyDescent="0.25">
      <c r="A38" s="43">
        <v>34</v>
      </c>
      <c r="B38" s="24" t="s">
        <v>37</v>
      </c>
      <c r="C38" s="41">
        <v>4</v>
      </c>
      <c r="D38" s="41">
        <v>4</v>
      </c>
      <c r="E38" s="41">
        <v>4</v>
      </c>
      <c r="F38" s="41">
        <v>2</v>
      </c>
      <c r="G38" s="41">
        <v>0</v>
      </c>
      <c r="H38" s="41">
        <v>32</v>
      </c>
      <c r="I38" s="41">
        <v>32</v>
      </c>
      <c r="J38" s="41">
        <v>26</v>
      </c>
      <c r="K38" s="41">
        <v>18</v>
      </c>
    </row>
    <row r="39" spans="1:11" x14ac:dyDescent="0.25">
      <c r="A39" s="43">
        <v>35</v>
      </c>
      <c r="B39" s="24" t="s">
        <v>38</v>
      </c>
      <c r="C39" s="41">
        <v>7</v>
      </c>
      <c r="D39" s="41"/>
      <c r="E39" s="41"/>
      <c r="F39" s="41"/>
      <c r="G39" s="41"/>
      <c r="H39" s="41">
        <v>96</v>
      </c>
      <c r="I39" s="41"/>
      <c r="J39" s="41"/>
      <c r="K39" s="41"/>
    </row>
    <row r="40" spans="1:11" x14ac:dyDescent="0.25">
      <c r="A40" s="43">
        <v>36</v>
      </c>
      <c r="B40" s="24" t="s">
        <v>39</v>
      </c>
      <c r="C40" s="41">
        <v>4</v>
      </c>
      <c r="D40" s="41">
        <v>4</v>
      </c>
      <c r="E40" s="41">
        <v>4</v>
      </c>
      <c r="F40" s="41">
        <v>4</v>
      </c>
      <c r="G40" s="41">
        <v>4</v>
      </c>
      <c r="H40" s="41">
        <v>75</v>
      </c>
      <c r="I40" s="41">
        <v>75</v>
      </c>
      <c r="J40" s="41">
        <v>75</v>
      </c>
      <c r="K40" s="41">
        <v>70</v>
      </c>
    </row>
    <row r="41" spans="1:11" x14ac:dyDescent="0.25">
      <c r="A41" s="43">
        <v>37</v>
      </c>
      <c r="B41" s="24" t="s">
        <v>40</v>
      </c>
      <c r="C41" s="41">
        <v>9</v>
      </c>
      <c r="D41" s="41"/>
      <c r="E41" s="41"/>
      <c r="F41" s="41"/>
      <c r="G41" s="41"/>
      <c r="H41" s="41">
        <v>113</v>
      </c>
      <c r="I41" s="41">
        <v>113</v>
      </c>
      <c r="J41" s="41">
        <v>113</v>
      </c>
      <c r="K41" s="41">
        <v>113</v>
      </c>
    </row>
    <row r="42" spans="1:11" x14ac:dyDescent="0.25">
      <c r="A42" s="43">
        <v>38</v>
      </c>
      <c r="B42" s="24" t="s">
        <v>41</v>
      </c>
      <c r="C42" s="41">
        <v>4</v>
      </c>
      <c r="D42" s="41">
        <v>4</v>
      </c>
      <c r="E42" s="41"/>
      <c r="F42" s="41"/>
      <c r="G42" s="41"/>
      <c r="H42" s="41">
        <v>60</v>
      </c>
      <c r="I42" s="41"/>
      <c r="J42" s="41"/>
      <c r="K42" s="41"/>
    </row>
    <row r="43" spans="1:11" x14ac:dyDescent="0.25">
      <c r="A43" s="43">
        <v>39</v>
      </c>
      <c r="B43" s="24" t="s">
        <v>42</v>
      </c>
      <c r="C43" s="41">
        <v>16</v>
      </c>
      <c r="D43" s="41">
        <v>4</v>
      </c>
      <c r="E43" s="41">
        <v>4</v>
      </c>
      <c r="F43" s="41">
        <v>4</v>
      </c>
      <c r="G43" s="41">
        <v>4</v>
      </c>
      <c r="H43" s="41">
        <v>189</v>
      </c>
      <c r="I43" s="41">
        <v>55</v>
      </c>
      <c r="J43" s="41">
        <v>77</v>
      </c>
      <c r="K43" s="41">
        <v>57</v>
      </c>
    </row>
    <row r="44" spans="1:11" x14ac:dyDescent="0.25">
      <c r="A44" s="43">
        <v>40</v>
      </c>
      <c r="B44" s="24" t="s">
        <v>43</v>
      </c>
      <c r="C44" s="41">
        <v>5</v>
      </c>
      <c r="D44" s="41"/>
      <c r="E44" s="41"/>
      <c r="F44" s="41"/>
      <c r="G44" s="41"/>
      <c r="H44" s="41">
        <v>63</v>
      </c>
      <c r="I44" s="41"/>
      <c r="J44" s="41"/>
      <c r="K44" s="41"/>
    </row>
    <row r="45" spans="1:11" x14ac:dyDescent="0.25">
      <c r="A45" s="43">
        <v>41</v>
      </c>
      <c r="B45" s="24" t="s">
        <v>44</v>
      </c>
      <c r="C45" s="41">
        <v>6</v>
      </c>
      <c r="D45" s="41">
        <v>6</v>
      </c>
      <c r="E45" s="41">
        <v>6</v>
      </c>
      <c r="F45" s="41">
        <v>6</v>
      </c>
      <c r="G45" s="41"/>
      <c r="H45" s="41">
        <v>68</v>
      </c>
      <c r="I45" s="41">
        <v>68</v>
      </c>
      <c r="J45" s="41">
        <v>68</v>
      </c>
      <c r="K45" s="41">
        <v>45</v>
      </c>
    </row>
    <row r="46" spans="1:11" x14ac:dyDescent="0.25">
      <c r="A46" s="43">
        <v>42</v>
      </c>
      <c r="B46" s="24" t="s">
        <v>45</v>
      </c>
      <c r="C46" s="41">
        <v>4</v>
      </c>
      <c r="D46" s="41">
        <v>2</v>
      </c>
      <c r="E46" s="41">
        <v>2</v>
      </c>
      <c r="F46" s="41">
        <v>2</v>
      </c>
      <c r="G46" s="41">
        <v>3</v>
      </c>
      <c r="H46" s="41">
        <v>32</v>
      </c>
      <c r="I46" s="41">
        <v>21</v>
      </c>
      <c r="J46" s="41">
        <v>21</v>
      </c>
      <c r="K46" s="41">
        <v>4</v>
      </c>
    </row>
    <row r="47" spans="1:11" x14ac:dyDescent="0.25">
      <c r="A47" s="43">
        <v>43</v>
      </c>
      <c r="B47" s="24" t="s">
        <v>46</v>
      </c>
      <c r="C47" s="41">
        <v>6</v>
      </c>
      <c r="D47" s="41">
        <v>6</v>
      </c>
      <c r="E47" s="41">
        <v>0</v>
      </c>
      <c r="F47" s="41"/>
      <c r="G47" s="41"/>
      <c r="H47" s="41">
        <v>82</v>
      </c>
      <c r="I47" s="41">
        <v>82</v>
      </c>
      <c r="J47" s="41"/>
      <c r="K47" s="41"/>
    </row>
    <row r="48" spans="1:11" x14ac:dyDescent="0.25">
      <c r="A48" s="43">
        <v>44</v>
      </c>
      <c r="B48" s="24" t="s">
        <v>47</v>
      </c>
      <c r="C48" s="41">
        <v>4</v>
      </c>
      <c r="D48" s="41"/>
      <c r="E48" s="41"/>
      <c r="F48" s="41"/>
      <c r="G48" s="41"/>
      <c r="H48" s="41">
        <v>53</v>
      </c>
      <c r="I48" s="41"/>
      <c r="J48" s="41"/>
      <c r="K48" s="41"/>
    </row>
    <row r="49" spans="1:11" x14ac:dyDescent="0.25">
      <c r="A49" s="43">
        <v>45</v>
      </c>
      <c r="B49" s="24" t="s">
        <v>48</v>
      </c>
      <c r="C49" s="41">
        <v>4</v>
      </c>
      <c r="D49" s="41">
        <v>4</v>
      </c>
      <c r="E49" s="41">
        <v>4</v>
      </c>
      <c r="F49" s="41">
        <v>4</v>
      </c>
      <c r="G49" s="41">
        <v>4</v>
      </c>
      <c r="H49" s="41">
        <v>49</v>
      </c>
      <c r="I49" s="41">
        <v>49</v>
      </c>
      <c r="J49" s="41">
        <v>49</v>
      </c>
      <c r="K49" s="41">
        <v>49</v>
      </c>
    </row>
    <row r="50" spans="1:11" x14ac:dyDescent="0.25">
      <c r="A50" s="43">
        <v>46</v>
      </c>
      <c r="B50" s="59" t="s">
        <v>49</v>
      </c>
      <c r="C50" s="41">
        <v>5</v>
      </c>
      <c r="D50" s="41">
        <v>5</v>
      </c>
      <c r="E50" s="41">
        <v>5</v>
      </c>
      <c r="F50" s="41">
        <v>4</v>
      </c>
      <c r="G50" s="41">
        <v>5</v>
      </c>
      <c r="H50" s="41">
        <v>115</v>
      </c>
      <c r="I50" s="41">
        <v>115</v>
      </c>
      <c r="J50" s="41">
        <v>115</v>
      </c>
      <c r="K50" s="41">
        <v>89</v>
      </c>
    </row>
    <row r="51" spans="1:11" x14ac:dyDescent="0.25">
      <c r="A51" s="43">
        <v>47</v>
      </c>
      <c r="B51" s="24" t="s">
        <v>50</v>
      </c>
      <c r="C51" s="41">
        <v>5</v>
      </c>
      <c r="D51" s="41">
        <v>5</v>
      </c>
      <c r="E51" s="41">
        <v>5</v>
      </c>
      <c r="F51" s="41">
        <v>5</v>
      </c>
      <c r="G51" s="41">
        <v>5</v>
      </c>
      <c r="H51" s="41">
        <v>82</v>
      </c>
      <c r="I51" s="41">
        <v>82</v>
      </c>
      <c r="J51" s="41">
        <v>82</v>
      </c>
      <c r="K51" s="41">
        <v>72</v>
      </c>
    </row>
    <row r="52" spans="1:11" x14ac:dyDescent="0.25">
      <c r="A52" s="43">
        <v>48</v>
      </c>
      <c r="B52" s="24" t="s">
        <v>51</v>
      </c>
      <c r="C52" s="41">
        <v>5</v>
      </c>
      <c r="D52" s="41">
        <v>5</v>
      </c>
      <c r="E52" s="41">
        <v>5</v>
      </c>
      <c r="F52" s="41">
        <v>5</v>
      </c>
      <c r="G52" s="41">
        <v>5</v>
      </c>
      <c r="H52" s="41">
        <v>70</v>
      </c>
      <c r="I52" s="41">
        <v>70</v>
      </c>
      <c r="J52" s="41">
        <v>70</v>
      </c>
      <c r="K52" s="41">
        <v>70</v>
      </c>
    </row>
    <row r="53" spans="1:11" x14ac:dyDescent="0.25">
      <c r="A53" s="43">
        <v>49</v>
      </c>
      <c r="B53" s="24" t="s">
        <v>52</v>
      </c>
      <c r="C53" s="41">
        <v>7</v>
      </c>
      <c r="D53" s="41">
        <v>5</v>
      </c>
      <c r="E53" s="41">
        <v>5</v>
      </c>
      <c r="F53" s="41">
        <v>0</v>
      </c>
      <c r="G53" s="41">
        <v>5</v>
      </c>
      <c r="H53" s="41">
        <v>34</v>
      </c>
      <c r="I53" s="41">
        <v>13</v>
      </c>
      <c r="J53" s="41">
        <v>13</v>
      </c>
      <c r="K53" s="41">
        <v>13</v>
      </c>
    </row>
    <row r="54" spans="1:11" x14ac:dyDescent="0.25">
      <c r="A54" s="43">
        <v>50</v>
      </c>
      <c r="B54" s="24" t="s">
        <v>53</v>
      </c>
      <c r="C54" s="41">
        <v>5</v>
      </c>
      <c r="D54" s="41">
        <v>5</v>
      </c>
      <c r="E54" s="41">
        <v>5</v>
      </c>
      <c r="F54" s="41">
        <v>5</v>
      </c>
      <c r="G54" s="41">
        <v>5</v>
      </c>
      <c r="H54" s="41">
        <v>41</v>
      </c>
      <c r="I54" s="41">
        <v>41</v>
      </c>
      <c r="J54" s="41">
        <v>41</v>
      </c>
      <c r="K54" s="41">
        <v>41</v>
      </c>
    </row>
    <row r="55" spans="1:11" x14ac:dyDescent="0.25">
      <c r="A55" s="43">
        <v>51</v>
      </c>
      <c r="B55" s="24" t="s">
        <v>54</v>
      </c>
      <c r="C55" s="41">
        <v>5</v>
      </c>
      <c r="D55" s="41">
        <v>5</v>
      </c>
      <c r="E55" s="41">
        <v>5</v>
      </c>
      <c r="F55" s="41">
        <v>5</v>
      </c>
      <c r="G55" s="41">
        <v>5</v>
      </c>
      <c r="H55" s="41">
        <v>65</v>
      </c>
      <c r="I55" s="41">
        <v>65</v>
      </c>
      <c r="J55" s="41">
        <v>65</v>
      </c>
      <c r="K55" s="41">
        <v>65</v>
      </c>
    </row>
    <row r="56" spans="1:11" x14ac:dyDescent="0.25">
      <c r="A56" s="43">
        <v>52</v>
      </c>
      <c r="B56" s="24" t="s">
        <v>55</v>
      </c>
      <c r="C56" s="41">
        <v>5</v>
      </c>
      <c r="D56" s="41">
        <v>3</v>
      </c>
      <c r="E56" s="41">
        <v>5</v>
      </c>
      <c r="F56" s="41">
        <v>3</v>
      </c>
      <c r="G56" s="41">
        <v>3</v>
      </c>
      <c r="H56" s="41">
        <v>43</v>
      </c>
      <c r="I56" s="41">
        <v>41</v>
      </c>
      <c r="J56" s="41">
        <v>43</v>
      </c>
      <c r="K56" s="41">
        <v>22</v>
      </c>
    </row>
    <row r="57" spans="1:11" x14ac:dyDescent="0.25">
      <c r="A57" s="43">
        <v>53</v>
      </c>
      <c r="B57" s="24" t="s">
        <v>56</v>
      </c>
      <c r="C57" s="41">
        <v>4</v>
      </c>
      <c r="D57" s="41"/>
      <c r="E57" s="41"/>
      <c r="F57" s="41"/>
      <c r="G57" s="41"/>
      <c r="H57" s="41"/>
      <c r="I57" s="41"/>
      <c r="J57" s="41"/>
      <c r="K57" s="41"/>
    </row>
    <row r="58" spans="1:11" x14ac:dyDescent="0.25">
      <c r="A58" s="43">
        <v>54</v>
      </c>
      <c r="B58" s="24" t="s">
        <v>57</v>
      </c>
      <c r="C58" s="41">
        <v>3</v>
      </c>
      <c r="D58" s="41"/>
      <c r="E58" s="41">
        <v>3</v>
      </c>
      <c r="F58" s="41">
        <v>3</v>
      </c>
      <c r="G58" s="41">
        <v>3</v>
      </c>
      <c r="H58" s="41">
        <v>45</v>
      </c>
      <c r="I58" s="41">
        <v>45</v>
      </c>
      <c r="J58" s="41">
        <v>45</v>
      </c>
      <c r="K58" s="41"/>
    </row>
    <row r="59" spans="1:11" x14ac:dyDescent="0.25">
      <c r="A59" s="43">
        <v>55</v>
      </c>
      <c r="B59" s="24" t="s">
        <v>58</v>
      </c>
      <c r="C59" s="41">
        <v>5</v>
      </c>
      <c r="D59" s="41"/>
      <c r="E59" s="41"/>
      <c r="F59" s="41"/>
      <c r="G59" s="41"/>
      <c r="H59" s="41"/>
      <c r="I59" s="41"/>
      <c r="J59" s="41"/>
      <c r="K59" s="41"/>
    </row>
    <row r="60" spans="1:11" x14ac:dyDescent="0.25">
      <c r="A60" s="43">
        <v>56</v>
      </c>
      <c r="B60" s="24" t="s">
        <v>59</v>
      </c>
      <c r="C60" s="41">
        <v>6</v>
      </c>
      <c r="D60" s="41"/>
      <c r="E60" s="41"/>
      <c r="F60" s="41"/>
      <c r="G60" s="41"/>
      <c r="H60" s="41"/>
      <c r="I60" s="41"/>
      <c r="J60" s="41"/>
      <c r="K60" s="41"/>
    </row>
    <row r="61" spans="1:11" x14ac:dyDescent="0.25">
      <c r="A61" s="43">
        <v>57</v>
      </c>
      <c r="B61" s="24" t="s">
        <v>60</v>
      </c>
      <c r="C61" s="41">
        <v>6</v>
      </c>
      <c r="D61" s="41">
        <v>2</v>
      </c>
      <c r="E61" s="41">
        <v>6</v>
      </c>
      <c r="F61" s="41">
        <v>0</v>
      </c>
      <c r="G61" s="41">
        <v>0</v>
      </c>
      <c r="H61" s="41">
        <v>72</v>
      </c>
      <c r="I61" s="41">
        <v>0</v>
      </c>
      <c r="J61" s="41">
        <v>72</v>
      </c>
      <c r="K61" s="41">
        <v>22</v>
      </c>
    </row>
    <row r="62" spans="1:11" x14ac:dyDescent="0.25">
      <c r="A62" s="43">
        <v>58</v>
      </c>
      <c r="B62" s="24" t="s">
        <v>61</v>
      </c>
      <c r="C62" s="41">
        <v>15</v>
      </c>
      <c r="D62" s="41">
        <v>9</v>
      </c>
      <c r="E62" s="41">
        <v>45</v>
      </c>
      <c r="F62" s="41">
        <f>14*3</f>
        <v>42</v>
      </c>
      <c r="G62" s="41">
        <v>33</v>
      </c>
      <c r="H62" s="41">
        <f>32+141+136+139</f>
        <v>448</v>
      </c>
      <c r="I62" s="41">
        <f>27+126+120+129</f>
        <v>402</v>
      </c>
      <c r="J62" s="41">
        <f>30+139+133+135</f>
        <v>437</v>
      </c>
      <c r="K62" s="41">
        <v>139</v>
      </c>
    </row>
    <row r="63" spans="1:11" x14ac:dyDescent="0.25">
      <c r="A63" s="43">
        <v>4</v>
      </c>
      <c r="B63" s="24" t="s">
        <v>62</v>
      </c>
      <c r="C63" s="41">
        <v>5</v>
      </c>
      <c r="D63" s="41">
        <v>5</v>
      </c>
      <c r="E63" s="41">
        <v>5</v>
      </c>
      <c r="F63" s="41">
        <v>3</v>
      </c>
      <c r="G63" s="41">
        <v>3</v>
      </c>
      <c r="H63" s="41">
        <v>67</v>
      </c>
      <c r="I63" s="41">
        <v>67</v>
      </c>
      <c r="J63" s="41">
        <v>67</v>
      </c>
      <c r="K63" s="41">
        <v>55</v>
      </c>
    </row>
    <row r="64" spans="1:11" x14ac:dyDescent="0.25">
      <c r="A64" s="43">
        <v>60</v>
      </c>
      <c r="B64" s="24" t="s">
        <v>63</v>
      </c>
      <c r="C64" s="41">
        <v>5</v>
      </c>
      <c r="D64" s="41">
        <v>5</v>
      </c>
      <c r="E64" s="41">
        <v>5</v>
      </c>
      <c r="F64" s="41">
        <v>5</v>
      </c>
      <c r="G64" s="41">
        <v>5</v>
      </c>
      <c r="H64" s="41">
        <v>33</v>
      </c>
      <c r="I64" s="41">
        <v>33</v>
      </c>
      <c r="J64" s="41">
        <v>33</v>
      </c>
      <c r="K64" s="41">
        <v>33</v>
      </c>
    </row>
    <row r="65" spans="1:11" x14ac:dyDescent="0.25">
      <c r="A65" s="43">
        <v>61</v>
      </c>
      <c r="B65" s="24" t="s">
        <v>64</v>
      </c>
      <c r="C65" s="41">
        <v>4</v>
      </c>
      <c r="D65" s="41">
        <v>4</v>
      </c>
      <c r="E65" s="41">
        <v>4</v>
      </c>
      <c r="F65" s="41">
        <v>0</v>
      </c>
      <c r="G65" s="41">
        <v>3</v>
      </c>
      <c r="H65" s="41">
        <v>35</v>
      </c>
      <c r="I65" s="41">
        <v>0</v>
      </c>
      <c r="J65" s="41">
        <v>24</v>
      </c>
      <c r="K65" s="41">
        <v>18</v>
      </c>
    </row>
    <row r="66" spans="1:11" x14ac:dyDescent="0.25">
      <c r="A66" s="43">
        <v>62</v>
      </c>
      <c r="B66" s="24" t="s">
        <v>65</v>
      </c>
      <c r="C66" s="41">
        <v>4</v>
      </c>
      <c r="D66" s="41">
        <v>4</v>
      </c>
      <c r="E66" s="41">
        <v>4</v>
      </c>
      <c r="F66" s="41">
        <v>2</v>
      </c>
      <c r="G66" s="41">
        <v>4</v>
      </c>
      <c r="H66" s="41">
        <v>31</v>
      </c>
      <c r="I66" s="41">
        <v>31</v>
      </c>
      <c r="J66" s="41">
        <v>31</v>
      </c>
      <c r="K66" s="41">
        <v>31</v>
      </c>
    </row>
    <row r="67" spans="1:11" x14ac:dyDescent="0.25">
      <c r="A67" s="43">
        <v>63</v>
      </c>
      <c r="B67" s="24" t="s">
        <v>66</v>
      </c>
      <c r="C67" s="41">
        <v>8</v>
      </c>
      <c r="D67" s="41">
        <v>8</v>
      </c>
      <c r="E67" s="41">
        <v>8</v>
      </c>
      <c r="F67" s="41"/>
      <c r="G67" s="41">
        <v>5</v>
      </c>
      <c r="H67" s="41">
        <v>48</v>
      </c>
      <c r="I67" s="41">
        <v>30</v>
      </c>
      <c r="J67" s="41">
        <v>35</v>
      </c>
      <c r="K67" s="41">
        <v>25</v>
      </c>
    </row>
  </sheetData>
  <mergeCells count="6">
    <mergeCell ref="A2:A4"/>
    <mergeCell ref="N6:N7"/>
    <mergeCell ref="B2:J2"/>
    <mergeCell ref="C3:G3"/>
    <mergeCell ref="H3:K3"/>
    <mergeCell ref="B3:B4"/>
  </mergeCells>
  <pageMargins left="0.7" right="0.7" top="0.75" bottom="0.75" header="0.3" footer="0.3"/>
  <pageSetup paperSize="9" orientation="landscape" r:id="rId1"/>
  <headerFooter differentFirst="1">
    <oddHeader>&amp;C&amp;P</oddHeader>
    <firstFooter>&amp;C1</first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WhiteSpace="0" view="pageLayout" zoomScaleNormal="100" workbookViewId="0">
      <selection activeCell="Q16" sqref="Q16"/>
    </sheetView>
  </sheetViews>
  <sheetFormatPr defaultRowHeight="15" x14ac:dyDescent="0.25"/>
  <cols>
    <col min="1" max="1" width="5.140625" customWidth="1"/>
    <col min="2" max="2" width="18.28515625" customWidth="1"/>
    <col min="3" max="3" width="13.5703125" customWidth="1"/>
    <col min="4" max="4" width="14.85546875" customWidth="1"/>
    <col min="5" max="5" width="13.5703125" customWidth="1"/>
    <col min="6" max="6" width="13.28515625" customWidth="1"/>
    <col min="7" max="7" width="12.85546875" customWidth="1"/>
    <col min="8" max="8" width="13" customWidth="1"/>
    <col min="9" max="9" width="12.7109375" customWidth="1"/>
    <col min="10" max="10" width="13.42578125" customWidth="1"/>
  </cols>
  <sheetData>
    <row r="1" spans="1:10" x14ac:dyDescent="0.25">
      <c r="A1" s="93"/>
      <c r="B1" s="159" t="s">
        <v>113</v>
      </c>
      <c r="C1" s="159"/>
      <c r="D1" s="159"/>
      <c r="E1" s="159"/>
      <c r="F1" s="159"/>
      <c r="G1" s="159"/>
      <c r="H1" s="159"/>
      <c r="I1" s="159"/>
      <c r="J1" s="159"/>
    </row>
    <row r="2" spans="1:10" x14ac:dyDescent="0.25">
      <c r="A2" s="162" t="s">
        <v>0</v>
      </c>
      <c r="B2" s="160" t="s">
        <v>108</v>
      </c>
      <c r="C2" s="153" t="s">
        <v>87</v>
      </c>
      <c r="D2" s="153"/>
      <c r="E2" s="153"/>
      <c r="F2" s="153"/>
      <c r="G2" s="153" t="s">
        <v>88</v>
      </c>
      <c r="H2" s="153"/>
      <c r="I2" s="153"/>
      <c r="J2" s="153"/>
    </row>
    <row r="3" spans="1:10" ht="60" x14ac:dyDescent="0.25">
      <c r="A3" s="163"/>
      <c r="B3" s="161"/>
      <c r="C3" s="94" t="s">
        <v>82</v>
      </c>
      <c r="D3" s="94" t="s">
        <v>83</v>
      </c>
      <c r="E3" s="95" t="s">
        <v>132</v>
      </c>
      <c r="F3" s="95" t="s">
        <v>131</v>
      </c>
      <c r="G3" s="96" t="s">
        <v>148</v>
      </c>
      <c r="H3" s="96" t="s">
        <v>84</v>
      </c>
      <c r="I3" s="96" t="s">
        <v>85</v>
      </c>
      <c r="J3" s="95" t="s">
        <v>86</v>
      </c>
    </row>
    <row r="4" spans="1:10" x14ac:dyDescent="0.25">
      <c r="A4" s="97">
        <v>1</v>
      </c>
      <c r="B4" s="92" t="s">
        <v>5</v>
      </c>
      <c r="C4" s="98">
        <v>879</v>
      </c>
      <c r="D4" s="98">
        <v>5351</v>
      </c>
      <c r="E4" s="98">
        <f>5351+5423+5746+5908</f>
        <v>22428</v>
      </c>
      <c r="F4" s="98">
        <f>E4</f>
        <v>22428</v>
      </c>
      <c r="G4" s="98">
        <f>2286+2260+1706+1493</f>
        <v>7745</v>
      </c>
      <c r="H4" s="98">
        <f>2122+2128+1599+1162</f>
        <v>7011</v>
      </c>
      <c r="I4" s="98">
        <f>G4-H4</f>
        <v>734</v>
      </c>
      <c r="J4" s="98">
        <v>0</v>
      </c>
    </row>
    <row r="5" spans="1:10" x14ac:dyDescent="0.25">
      <c r="A5" s="99">
        <v>2</v>
      </c>
      <c r="B5" s="92" t="s">
        <v>109</v>
      </c>
      <c r="C5" s="100">
        <v>508</v>
      </c>
      <c r="D5" s="100">
        <v>3283</v>
      </c>
      <c r="E5" s="100">
        <v>10000</v>
      </c>
      <c r="F5" s="100"/>
      <c r="G5" s="100">
        <v>1687</v>
      </c>
      <c r="H5" s="100">
        <v>1508</v>
      </c>
      <c r="I5" s="100">
        <f>G5-H5</f>
        <v>179</v>
      </c>
      <c r="J5" s="100">
        <v>0</v>
      </c>
    </row>
    <row r="6" spans="1:10" x14ac:dyDescent="0.25">
      <c r="A6" s="97">
        <v>3</v>
      </c>
      <c r="B6" s="92" t="s">
        <v>7</v>
      </c>
      <c r="C6" s="100">
        <v>2136</v>
      </c>
      <c r="D6" s="100">
        <v>15491</v>
      </c>
      <c r="E6" s="100">
        <f>6061+6041+6560+7871</f>
        <v>26533</v>
      </c>
      <c r="F6" s="100">
        <f>15000+14378+15491+15491</f>
        <v>60360</v>
      </c>
      <c r="G6" s="100">
        <f>1815+2582+1929+834</f>
        <v>7160</v>
      </c>
      <c r="H6" s="100">
        <f>1530+2020+1549+604</f>
        <v>5703</v>
      </c>
      <c r="I6" s="100">
        <f>G6-H6</f>
        <v>1457</v>
      </c>
      <c r="J6" s="100">
        <v>0</v>
      </c>
    </row>
    <row r="7" spans="1:10" x14ac:dyDescent="0.25">
      <c r="A7" s="99">
        <v>4</v>
      </c>
      <c r="B7" s="92" t="s">
        <v>8</v>
      </c>
      <c r="C7" s="100">
        <v>1321</v>
      </c>
      <c r="D7" s="100">
        <v>6945</v>
      </c>
      <c r="E7" s="100">
        <f>6945+3229+2517</f>
        <v>12691</v>
      </c>
      <c r="F7" s="100">
        <f>E7</f>
        <v>12691</v>
      </c>
      <c r="G7" s="100">
        <f>685+747+457</f>
        <v>1889</v>
      </c>
      <c r="H7" s="100">
        <f>528+600+333</f>
        <v>1461</v>
      </c>
      <c r="I7" s="100">
        <f>G7-H7</f>
        <v>428</v>
      </c>
      <c r="J7" s="100">
        <v>0</v>
      </c>
    </row>
    <row r="8" spans="1:10" x14ac:dyDescent="0.25">
      <c r="A8" s="97">
        <v>5</v>
      </c>
      <c r="B8" s="92" t="s">
        <v>9</v>
      </c>
      <c r="C8" s="100">
        <v>513</v>
      </c>
      <c r="D8" s="100">
        <v>3258</v>
      </c>
      <c r="E8" s="100">
        <v>3258</v>
      </c>
      <c r="F8" s="100">
        <f>3258+3232+3205+2900</f>
        <v>12595</v>
      </c>
      <c r="G8" s="100">
        <f>2525+2450+1996+942</f>
        <v>7913</v>
      </c>
      <c r="H8" s="100">
        <f>2023+1965+1690+764</f>
        <v>6442</v>
      </c>
      <c r="I8" s="100">
        <f t="shared" ref="I8:I9" si="0">G8-H8</f>
        <v>1471</v>
      </c>
      <c r="J8" s="100">
        <v>0</v>
      </c>
    </row>
    <row r="9" spans="1:10" x14ac:dyDescent="0.25">
      <c r="A9" s="99">
        <v>6</v>
      </c>
      <c r="B9" s="92" t="s">
        <v>10</v>
      </c>
      <c r="C9" s="100">
        <v>811</v>
      </c>
      <c r="D9" s="100">
        <v>5438</v>
      </c>
      <c r="E9" s="100">
        <f>5438+5438+5378+5436</f>
        <v>21690</v>
      </c>
      <c r="F9" s="100">
        <f>1675+1130+3218+1189</f>
        <v>7212</v>
      </c>
      <c r="G9" s="100">
        <f>765+840+718+477</f>
        <v>2800</v>
      </c>
      <c r="H9" s="100">
        <f>596+578+497+319</f>
        <v>1990</v>
      </c>
      <c r="I9" s="100">
        <f t="shared" si="0"/>
        <v>810</v>
      </c>
      <c r="J9" s="100">
        <v>0</v>
      </c>
    </row>
    <row r="10" spans="1:10" x14ac:dyDescent="0.25">
      <c r="A10" s="97">
        <v>7</v>
      </c>
      <c r="B10" s="92" t="s">
        <v>11</v>
      </c>
      <c r="C10" s="100">
        <v>986</v>
      </c>
      <c r="D10" s="100">
        <v>7684</v>
      </c>
      <c r="E10" s="100">
        <f>5904+6414+5898+7684</f>
        <v>25900</v>
      </c>
      <c r="F10" s="100">
        <f>7558+7562+7684+7684</f>
        <v>30488</v>
      </c>
      <c r="G10" s="100">
        <f>1552+1694+1340+1350</f>
        <v>5936</v>
      </c>
      <c r="H10" s="100">
        <f>1413+1487+1172+1220</f>
        <v>5292</v>
      </c>
      <c r="I10" s="100">
        <f>G10-H10</f>
        <v>644</v>
      </c>
      <c r="J10" s="100">
        <v>0</v>
      </c>
    </row>
    <row r="11" spans="1:10" x14ac:dyDescent="0.25">
      <c r="A11" s="99">
        <v>8</v>
      </c>
      <c r="B11" s="92" t="s">
        <v>12</v>
      </c>
      <c r="C11" s="100">
        <v>1124</v>
      </c>
      <c r="D11" s="100">
        <v>8262</v>
      </c>
      <c r="E11" s="100">
        <f>450+820+1890</f>
        <v>3160</v>
      </c>
      <c r="F11" s="100">
        <f>8309+8255+8274+8262</f>
        <v>33100</v>
      </c>
      <c r="G11" s="100">
        <f>1486+1580+1459+1534</f>
        <v>6059</v>
      </c>
      <c r="H11" s="100">
        <f>1201+1269+1134+1245</f>
        <v>4849</v>
      </c>
      <c r="I11" s="100">
        <f>G11-H11</f>
        <v>1210</v>
      </c>
      <c r="J11" s="100">
        <v>0</v>
      </c>
    </row>
    <row r="12" spans="1:10" x14ac:dyDescent="0.25">
      <c r="A12" s="97">
        <v>9</v>
      </c>
      <c r="B12" s="92" t="s">
        <v>13</v>
      </c>
      <c r="C12" s="101">
        <v>575</v>
      </c>
      <c r="D12" s="101">
        <v>3941</v>
      </c>
      <c r="E12" s="102">
        <v>23045</v>
      </c>
      <c r="F12" s="102">
        <f>1199495+95527</f>
        <v>1295022</v>
      </c>
      <c r="G12" s="102">
        <v>2940</v>
      </c>
      <c r="H12" s="102">
        <v>2600</v>
      </c>
      <c r="I12" s="103">
        <f>G12-H12</f>
        <v>340</v>
      </c>
      <c r="J12" s="103">
        <v>0</v>
      </c>
    </row>
    <row r="13" spans="1:10" x14ac:dyDescent="0.25">
      <c r="A13" s="99">
        <v>10</v>
      </c>
      <c r="B13" s="92" t="s">
        <v>130</v>
      </c>
      <c r="C13" s="100">
        <v>857</v>
      </c>
      <c r="D13" s="100">
        <v>5056</v>
      </c>
      <c r="E13" s="100">
        <f>3611+4133+3493+2265</f>
        <v>13502</v>
      </c>
      <c r="F13" s="100">
        <f>3114+3772+3028+1721</f>
        <v>11635</v>
      </c>
      <c r="G13" s="100">
        <f>1767+1507+954+893</f>
        <v>5121</v>
      </c>
      <c r="H13" s="100">
        <f>1154+1052+656+673</f>
        <v>3535</v>
      </c>
      <c r="I13" s="100">
        <f t="shared" ref="I13:I32" si="1">G13-H13</f>
        <v>1586</v>
      </c>
      <c r="J13" s="100">
        <f>7+5+9+3</f>
        <v>24</v>
      </c>
    </row>
    <row r="14" spans="1:10" x14ac:dyDescent="0.25">
      <c r="A14" s="97">
        <v>11</v>
      </c>
      <c r="B14" s="92" t="s">
        <v>14</v>
      </c>
      <c r="C14" s="100">
        <v>696</v>
      </c>
      <c r="D14" s="100">
        <v>4385</v>
      </c>
      <c r="E14" s="100"/>
      <c r="F14" s="100"/>
      <c r="G14" s="100"/>
      <c r="H14" s="100"/>
      <c r="I14" s="100">
        <f t="shared" si="1"/>
        <v>0</v>
      </c>
      <c r="J14" s="100"/>
    </row>
    <row r="15" spans="1:10" x14ac:dyDescent="0.25">
      <c r="A15" s="99">
        <v>12</v>
      </c>
      <c r="B15" s="92" t="s">
        <v>15</v>
      </c>
      <c r="C15" s="100">
        <v>883</v>
      </c>
      <c r="D15" s="100">
        <v>5315</v>
      </c>
      <c r="E15" s="100">
        <f>3793+4427+3442+3966</f>
        <v>15628</v>
      </c>
      <c r="F15" s="100">
        <f>3793+4427+3996+4658</f>
        <v>16874</v>
      </c>
      <c r="G15" s="100">
        <f>2387+2266+1527+1301</f>
        <v>7481</v>
      </c>
      <c r="H15" s="100">
        <f>1845+2092+1211+982</f>
        <v>6130</v>
      </c>
      <c r="I15" s="100">
        <f t="shared" si="1"/>
        <v>1351</v>
      </c>
      <c r="J15" s="100">
        <v>0</v>
      </c>
    </row>
    <row r="16" spans="1:10" ht="15.75" x14ac:dyDescent="0.25">
      <c r="A16" s="97">
        <v>13</v>
      </c>
      <c r="B16" s="59" t="s">
        <v>16</v>
      </c>
      <c r="C16" s="104">
        <v>605</v>
      </c>
      <c r="D16" s="104">
        <v>3868</v>
      </c>
      <c r="E16" s="100"/>
      <c r="F16" s="100"/>
      <c r="G16" s="100"/>
      <c r="H16" s="100"/>
      <c r="I16" s="100">
        <f t="shared" si="1"/>
        <v>0</v>
      </c>
      <c r="J16" s="100"/>
    </row>
    <row r="17" spans="1:10" x14ac:dyDescent="0.25">
      <c r="A17" s="99">
        <v>14</v>
      </c>
      <c r="B17" s="92" t="s">
        <v>17</v>
      </c>
      <c r="C17" s="100">
        <v>1362</v>
      </c>
      <c r="D17" s="100">
        <v>7703</v>
      </c>
      <c r="E17" s="100">
        <f>2220+2265+1118+2040</f>
        <v>7643</v>
      </c>
      <c r="F17" s="100">
        <f>2577+2438+1372+2317</f>
        <v>8704</v>
      </c>
      <c r="G17" s="100">
        <f>956+1080+1220+922</f>
        <v>4178</v>
      </c>
      <c r="H17" s="100">
        <f>658+755+787+567</f>
        <v>2767</v>
      </c>
      <c r="I17" s="100">
        <f t="shared" si="1"/>
        <v>1411</v>
      </c>
      <c r="J17" s="100">
        <v>0</v>
      </c>
    </row>
    <row r="18" spans="1:10" x14ac:dyDescent="0.25">
      <c r="A18" s="97">
        <v>15</v>
      </c>
      <c r="B18" s="92" t="s">
        <v>18</v>
      </c>
      <c r="C18" s="100">
        <v>1447</v>
      </c>
      <c r="D18" s="100">
        <v>7741</v>
      </c>
      <c r="E18" s="100">
        <f>3155+5434+5951+5861</f>
        <v>20401</v>
      </c>
      <c r="F18" s="100">
        <f>7601+7745+7249+7434</f>
        <v>30029</v>
      </c>
      <c r="G18" s="100">
        <f>536+381+291+455</f>
        <v>1663</v>
      </c>
      <c r="H18" s="100">
        <f>487+347+265+429</f>
        <v>1528</v>
      </c>
      <c r="I18" s="100">
        <f t="shared" si="1"/>
        <v>135</v>
      </c>
      <c r="J18" s="100"/>
    </row>
    <row r="19" spans="1:10" x14ac:dyDescent="0.25">
      <c r="A19" s="99">
        <v>16</v>
      </c>
      <c r="B19" s="92" t="s">
        <v>19</v>
      </c>
      <c r="C19" s="100">
        <v>2502</v>
      </c>
      <c r="D19" s="100">
        <v>15256</v>
      </c>
      <c r="E19" s="100">
        <f>8371+8925+8640+8293</f>
        <v>34229</v>
      </c>
      <c r="F19" s="100">
        <f>E19</f>
        <v>34229</v>
      </c>
      <c r="G19" s="100">
        <f>662+2265+2552+2528-33-25-31-35</f>
        <v>7883</v>
      </c>
      <c r="H19" s="100">
        <f>1742+1718+1412+440</f>
        <v>5312</v>
      </c>
      <c r="I19" s="100">
        <f t="shared" si="1"/>
        <v>2571</v>
      </c>
      <c r="J19" s="100"/>
    </row>
    <row r="20" spans="1:10" x14ac:dyDescent="0.25">
      <c r="A20" s="97">
        <v>17</v>
      </c>
      <c r="B20" s="92" t="s">
        <v>20</v>
      </c>
      <c r="C20" s="100">
        <v>588</v>
      </c>
      <c r="D20" s="100">
        <v>3114</v>
      </c>
      <c r="E20" s="100">
        <f>1189+1498+1456+1513</f>
        <v>5656</v>
      </c>
      <c r="F20" s="100">
        <f>2250+2486+2516+2532</f>
        <v>9784</v>
      </c>
      <c r="G20" s="100">
        <f>566+532+598+525</f>
        <v>2221</v>
      </c>
      <c r="H20" s="100">
        <f>313+428+357+380</f>
        <v>1478</v>
      </c>
      <c r="I20" s="100">
        <f t="shared" si="1"/>
        <v>743</v>
      </c>
      <c r="J20" s="100"/>
    </row>
    <row r="21" spans="1:10" x14ac:dyDescent="0.25">
      <c r="A21" s="99">
        <v>18</v>
      </c>
      <c r="B21" s="92" t="s">
        <v>21</v>
      </c>
      <c r="C21" s="100">
        <v>1326</v>
      </c>
      <c r="D21" s="100">
        <v>7325</v>
      </c>
      <c r="E21" s="100">
        <f>6810+5605+5624+4388</f>
        <v>22427</v>
      </c>
      <c r="F21" s="100">
        <f>5023+4492+4961+4689</f>
        <v>19165</v>
      </c>
      <c r="G21" s="100">
        <f>1110+1651+1823+651</f>
        <v>5235</v>
      </c>
      <c r="H21" s="100">
        <f>856+1283+1461+495</f>
        <v>4095</v>
      </c>
      <c r="I21" s="100">
        <f>G21-H21</f>
        <v>1140</v>
      </c>
      <c r="J21" s="100">
        <v>45</v>
      </c>
    </row>
    <row r="22" spans="1:10" x14ac:dyDescent="0.25">
      <c r="A22" s="97">
        <v>19</v>
      </c>
      <c r="B22" s="92" t="s">
        <v>22</v>
      </c>
      <c r="C22" s="100">
        <v>936</v>
      </c>
      <c r="D22" s="100">
        <v>5436</v>
      </c>
      <c r="E22" s="100">
        <f>5619+4555+4552+4954</f>
        <v>19680</v>
      </c>
      <c r="F22" s="100">
        <f>5740+5077+5467+5436</f>
        <v>21720</v>
      </c>
      <c r="G22" s="100">
        <f>2251+2325+1392+1497</f>
        <v>7465</v>
      </c>
      <c r="H22" s="100">
        <f>1846+1829+1061+1168</f>
        <v>5904</v>
      </c>
      <c r="I22" s="100">
        <f t="shared" si="1"/>
        <v>1561</v>
      </c>
      <c r="J22" s="100"/>
    </row>
    <row r="23" spans="1:10" x14ac:dyDescent="0.25">
      <c r="A23" s="99">
        <v>20</v>
      </c>
      <c r="B23" s="92" t="s">
        <v>23</v>
      </c>
      <c r="C23" s="100">
        <v>721</v>
      </c>
      <c r="D23" s="100">
        <v>4240</v>
      </c>
      <c r="E23" s="100">
        <v>4300</v>
      </c>
      <c r="F23" s="100">
        <f>4240</f>
        <v>4240</v>
      </c>
      <c r="G23" s="100">
        <v>12804</v>
      </c>
      <c r="H23" s="100">
        <v>11563</v>
      </c>
      <c r="I23" s="100">
        <f t="shared" si="1"/>
        <v>1241</v>
      </c>
      <c r="J23" s="100">
        <v>0</v>
      </c>
    </row>
    <row r="24" spans="1:10" x14ac:dyDescent="0.25">
      <c r="A24" s="97">
        <v>21</v>
      </c>
      <c r="B24" s="92" t="s">
        <v>24</v>
      </c>
      <c r="C24" s="100">
        <v>1581</v>
      </c>
      <c r="D24" s="100">
        <v>9516</v>
      </c>
      <c r="E24" s="100">
        <f>5006+5253+5354+4755</f>
        <v>20368</v>
      </c>
      <c r="F24" s="100">
        <f>8856+9527+9091+9516</f>
        <v>36990</v>
      </c>
      <c r="G24" s="100">
        <f>1854+2383+2343+1963</f>
        <v>8543</v>
      </c>
      <c r="H24" s="100">
        <f>1502+1939+1995+1687</f>
        <v>7123</v>
      </c>
      <c r="I24" s="100">
        <f t="shared" si="1"/>
        <v>1420</v>
      </c>
      <c r="J24" s="100">
        <v>82</v>
      </c>
    </row>
    <row r="25" spans="1:10" x14ac:dyDescent="0.25">
      <c r="A25" s="99">
        <v>22</v>
      </c>
      <c r="B25" s="92" t="s">
        <v>25</v>
      </c>
      <c r="C25" s="100">
        <v>2071</v>
      </c>
      <c r="D25" s="100">
        <v>11656</v>
      </c>
      <c r="E25" s="100">
        <f>2801+3389+4649+2845</f>
        <v>13684</v>
      </c>
      <c r="F25" s="100">
        <f>3151+3391+3995+3969</f>
        <v>14506</v>
      </c>
      <c r="G25" s="100">
        <f>2060+3020+2700+1396</f>
        <v>9176</v>
      </c>
      <c r="H25" s="100">
        <f>1761+2442+2366+1146</f>
        <v>7715</v>
      </c>
      <c r="I25" s="100">
        <f t="shared" si="1"/>
        <v>1461</v>
      </c>
      <c r="J25" s="100">
        <f>12+34+28+43</f>
        <v>117</v>
      </c>
    </row>
    <row r="26" spans="1:10" ht="15.75" x14ac:dyDescent="0.25">
      <c r="A26" s="97">
        <v>23</v>
      </c>
      <c r="B26" s="92" t="s">
        <v>26</v>
      </c>
      <c r="C26" s="106">
        <v>716</v>
      </c>
      <c r="D26" s="100">
        <v>4715</v>
      </c>
      <c r="E26" s="100">
        <f>4250+4125+4210+4350</f>
        <v>16935</v>
      </c>
      <c r="F26" s="100">
        <f>E26</f>
        <v>16935</v>
      </c>
      <c r="G26" s="100">
        <f>901+936+972+921</f>
        <v>3730</v>
      </c>
      <c r="H26" s="100">
        <f>639+673+719+704</f>
        <v>2735</v>
      </c>
      <c r="I26" s="100">
        <f>G26-H26</f>
        <v>995</v>
      </c>
      <c r="J26" s="100"/>
    </row>
    <row r="27" spans="1:10" x14ac:dyDescent="0.25">
      <c r="A27" s="99">
        <v>24</v>
      </c>
      <c r="B27" s="92" t="s">
        <v>27</v>
      </c>
      <c r="C27" s="100">
        <v>4925</v>
      </c>
      <c r="D27" s="100">
        <v>32232</v>
      </c>
      <c r="E27" s="100"/>
      <c r="F27" s="100"/>
      <c r="G27" s="100">
        <f>4370+2883+1949</f>
        <v>9202</v>
      </c>
      <c r="H27" s="100">
        <f>3615+2411+1460</f>
        <v>7486</v>
      </c>
      <c r="I27" s="100">
        <f t="shared" si="1"/>
        <v>1716</v>
      </c>
      <c r="J27" s="100"/>
    </row>
    <row r="28" spans="1:10" x14ac:dyDescent="0.25">
      <c r="A28" s="97">
        <v>25</v>
      </c>
      <c r="B28" s="92" t="s">
        <v>28</v>
      </c>
      <c r="C28" s="100">
        <v>1964</v>
      </c>
      <c r="D28" s="100">
        <v>13031</v>
      </c>
      <c r="E28" s="100">
        <v>28000</v>
      </c>
      <c r="F28" s="100"/>
      <c r="G28" s="100">
        <v>3043</v>
      </c>
      <c r="H28" s="100">
        <v>2527</v>
      </c>
      <c r="I28" s="100">
        <f t="shared" si="1"/>
        <v>516</v>
      </c>
      <c r="J28" s="100"/>
    </row>
    <row r="29" spans="1:10" x14ac:dyDescent="0.25">
      <c r="A29" s="99">
        <v>26</v>
      </c>
      <c r="B29" s="92" t="s">
        <v>29</v>
      </c>
      <c r="C29" s="100">
        <v>1173</v>
      </c>
      <c r="D29" s="100">
        <v>9544</v>
      </c>
      <c r="E29" s="100">
        <f>5976+6795+5302+6680</f>
        <v>24753</v>
      </c>
      <c r="F29" s="100">
        <f>E29</f>
        <v>24753</v>
      </c>
      <c r="G29" s="100">
        <f>2094+2237+2150+932</f>
        <v>7413</v>
      </c>
      <c r="H29" s="100">
        <f>1667+1732+1725+671</f>
        <v>5795</v>
      </c>
      <c r="I29" s="100">
        <f>G29-H29</f>
        <v>1618</v>
      </c>
      <c r="J29" s="100">
        <v>30</v>
      </c>
    </row>
    <row r="30" spans="1:10" ht="15.75" x14ac:dyDescent="0.25">
      <c r="A30" s="97">
        <v>27</v>
      </c>
      <c r="B30" s="59" t="s">
        <v>30</v>
      </c>
      <c r="C30" s="106">
        <v>1987</v>
      </c>
      <c r="D30" s="100">
        <v>11092</v>
      </c>
      <c r="E30" s="100">
        <f>9560+6865+6143+5003</f>
        <v>27571</v>
      </c>
      <c r="F30" s="100">
        <f>11000+9000+9500+10000</f>
        <v>39500</v>
      </c>
      <c r="G30" s="100">
        <f>1802+1792+1297+1413</f>
        <v>6304</v>
      </c>
      <c r="H30" s="100">
        <f>1286+1234+836+1122</f>
        <v>4478</v>
      </c>
      <c r="I30" s="100">
        <f t="shared" si="1"/>
        <v>1826</v>
      </c>
      <c r="J30" s="100">
        <v>0</v>
      </c>
    </row>
    <row r="31" spans="1:10" ht="15.75" x14ac:dyDescent="0.25">
      <c r="A31" s="99">
        <v>28</v>
      </c>
      <c r="B31" s="59" t="s">
        <v>31</v>
      </c>
      <c r="C31" s="106">
        <v>531</v>
      </c>
      <c r="D31" s="100">
        <v>2666</v>
      </c>
      <c r="E31" s="100">
        <f>2576+2467+2568+2671</f>
        <v>10282</v>
      </c>
      <c r="F31" s="100">
        <f>2689+2671+2678+2666</f>
        <v>10704</v>
      </c>
      <c r="G31" s="100">
        <f>1756+1867+1437+1642</f>
        <v>6702</v>
      </c>
      <c r="H31" s="100">
        <f>1654+1725+1297+1642</f>
        <v>6318</v>
      </c>
      <c r="I31" s="100">
        <f t="shared" si="1"/>
        <v>384</v>
      </c>
      <c r="J31" s="100">
        <v>0</v>
      </c>
    </row>
    <row r="32" spans="1:10" ht="15.75" x14ac:dyDescent="0.25">
      <c r="A32" s="97">
        <v>29</v>
      </c>
      <c r="B32" s="59" t="s">
        <v>32</v>
      </c>
      <c r="C32" s="106">
        <v>1483</v>
      </c>
      <c r="D32" s="100">
        <v>10231</v>
      </c>
      <c r="E32" s="100"/>
      <c r="F32" s="100"/>
      <c r="G32" s="100"/>
      <c r="H32" s="100"/>
      <c r="I32" s="100">
        <f t="shared" si="1"/>
        <v>0</v>
      </c>
      <c r="J32" s="100"/>
    </row>
    <row r="33" spans="1:10" x14ac:dyDescent="0.25">
      <c r="A33" s="99">
        <v>30</v>
      </c>
      <c r="B33" s="92" t="s">
        <v>33</v>
      </c>
      <c r="C33" s="100">
        <v>872</v>
      </c>
      <c r="D33" s="100">
        <v>6305</v>
      </c>
      <c r="E33" s="100">
        <f>4684+5209+5596+5583</f>
        <v>21072</v>
      </c>
      <c r="F33" s="100">
        <f>4164+4472+4806+4674</f>
        <v>18116</v>
      </c>
      <c r="G33" s="100">
        <f>1328+1210+957+829</f>
        <v>4324</v>
      </c>
      <c r="H33" s="100">
        <f>1102+1026+808+713</f>
        <v>3649</v>
      </c>
      <c r="I33" s="100">
        <f>G33-H33</f>
        <v>675</v>
      </c>
      <c r="J33" s="100">
        <f>78+164+161+122</f>
        <v>525</v>
      </c>
    </row>
    <row r="34" spans="1:10" x14ac:dyDescent="0.25">
      <c r="A34" s="97">
        <v>31</v>
      </c>
      <c r="B34" s="59" t="s">
        <v>34</v>
      </c>
      <c r="C34" s="100">
        <v>978</v>
      </c>
      <c r="D34" s="100">
        <v>4879</v>
      </c>
      <c r="E34" s="100"/>
      <c r="F34" s="100"/>
      <c r="G34" s="100"/>
      <c r="H34" s="100"/>
      <c r="I34" s="100">
        <f t="shared" ref="I34:I66" si="2">G34-H34</f>
        <v>0</v>
      </c>
      <c r="J34" s="100"/>
    </row>
    <row r="35" spans="1:10" x14ac:dyDescent="0.25">
      <c r="A35" s="99">
        <v>32</v>
      </c>
      <c r="B35" s="92" t="s">
        <v>35</v>
      </c>
      <c r="C35" s="100">
        <v>955</v>
      </c>
      <c r="D35" s="100">
        <v>6059</v>
      </c>
      <c r="E35" s="100">
        <v>12800</v>
      </c>
      <c r="F35" s="100">
        <v>0</v>
      </c>
      <c r="G35" s="100"/>
      <c r="H35" s="100"/>
      <c r="I35" s="100">
        <f t="shared" si="2"/>
        <v>0</v>
      </c>
      <c r="J35" s="100"/>
    </row>
    <row r="36" spans="1:10" x14ac:dyDescent="0.25">
      <c r="A36" s="97">
        <v>33</v>
      </c>
      <c r="B36" s="92" t="s">
        <v>36</v>
      </c>
      <c r="C36" s="100">
        <v>766</v>
      </c>
      <c r="D36" s="100">
        <v>4871</v>
      </c>
      <c r="E36" s="100">
        <f>3378+2867+2645+2699</f>
        <v>11589</v>
      </c>
      <c r="F36" s="100">
        <f>2346+1974+1762+1762</f>
        <v>7844</v>
      </c>
      <c r="G36" s="100">
        <f>702+675+610+226</f>
        <v>2213</v>
      </c>
      <c r="H36" s="100">
        <f>620+623+528+209</f>
        <v>1980</v>
      </c>
      <c r="I36" s="100">
        <f t="shared" si="2"/>
        <v>233</v>
      </c>
      <c r="J36" s="100"/>
    </row>
    <row r="37" spans="1:10" x14ac:dyDescent="0.25">
      <c r="A37" s="99">
        <v>34</v>
      </c>
      <c r="B37" s="92" t="s">
        <v>37</v>
      </c>
      <c r="C37" s="100">
        <v>957</v>
      </c>
      <c r="D37" s="100">
        <v>5245</v>
      </c>
      <c r="E37" s="100">
        <f>1023+1628+1096+1748</f>
        <v>5495</v>
      </c>
      <c r="F37" s="100">
        <f>1503+2361+1812+1626</f>
        <v>7302</v>
      </c>
      <c r="G37" s="100">
        <f>1133+1451+1338+702</f>
        <v>4624</v>
      </c>
      <c r="H37" s="100">
        <f>982+1224+1175+589</f>
        <v>3970</v>
      </c>
      <c r="I37" s="100">
        <f t="shared" si="2"/>
        <v>654</v>
      </c>
      <c r="J37" s="100">
        <v>12</v>
      </c>
    </row>
    <row r="38" spans="1:10" x14ac:dyDescent="0.25">
      <c r="A38" s="97">
        <v>35</v>
      </c>
      <c r="B38" s="59" t="s">
        <v>38</v>
      </c>
      <c r="C38" s="100">
        <v>1384</v>
      </c>
      <c r="D38" s="100">
        <v>7908</v>
      </c>
      <c r="E38" s="100"/>
      <c r="F38" s="100"/>
      <c r="G38" s="100"/>
      <c r="H38" s="100"/>
      <c r="I38" s="100">
        <f t="shared" si="2"/>
        <v>0</v>
      </c>
      <c r="J38" s="100"/>
    </row>
    <row r="39" spans="1:10" x14ac:dyDescent="0.25">
      <c r="A39" s="99">
        <v>36</v>
      </c>
      <c r="B39" s="92" t="s">
        <v>39</v>
      </c>
      <c r="C39" s="100">
        <v>1718</v>
      </c>
      <c r="D39" s="100">
        <v>10891</v>
      </c>
      <c r="E39" s="100">
        <f>8558+8740+9476+9533</f>
        <v>36307</v>
      </c>
      <c r="F39" s="100">
        <f>11987+11050+10891+10891</f>
        <v>44819</v>
      </c>
      <c r="G39" s="100">
        <f>2317+3483+3475+2410</f>
        <v>11685</v>
      </c>
      <c r="H39" s="100">
        <f>1675+2614+2618+1735</f>
        <v>8642</v>
      </c>
      <c r="I39" s="100">
        <f t="shared" si="2"/>
        <v>3043</v>
      </c>
      <c r="J39" s="100">
        <v>0</v>
      </c>
    </row>
    <row r="40" spans="1:10" x14ac:dyDescent="0.25">
      <c r="A40" s="97">
        <v>37</v>
      </c>
      <c r="B40" s="92" t="s">
        <v>40</v>
      </c>
      <c r="C40" s="100">
        <v>1546</v>
      </c>
      <c r="D40" s="100">
        <f>7291</f>
        <v>7291</v>
      </c>
      <c r="E40" s="100">
        <f>4486+5137+5244+5867</f>
        <v>20734</v>
      </c>
      <c r="F40" s="100">
        <f>E40</f>
        <v>20734</v>
      </c>
      <c r="G40" s="100">
        <f>1978+1483+1802+816+312+252+309+209</f>
        <v>7161</v>
      </c>
      <c r="H40" s="100">
        <f>1978+1483+1802+816</f>
        <v>6079</v>
      </c>
      <c r="I40" s="100">
        <f t="shared" si="2"/>
        <v>1082</v>
      </c>
      <c r="J40" s="100"/>
    </row>
    <row r="41" spans="1:10" x14ac:dyDescent="0.25">
      <c r="A41" s="99">
        <v>38</v>
      </c>
      <c r="B41" s="92" t="s">
        <v>41</v>
      </c>
      <c r="C41" s="100">
        <v>1026</v>
      </c>
      <c r="D41" s="100">
        <v>6530</v>
      </c>
      <c r="E41" s="100"/>
      <c r="F41" s="100"/>
      <c r="G41" s="100"/>
      <c r="H41" s="100"/>
      <c r="I41" s="100">
        <f t="shared" si="2"/>
        <v>0</v>
      </c>
      <c r="J41" s="100"/>
    </row>
    <row r="42" spans="1:10" x14ac:dyDescent="0.25">
      <c r="A42" s="97">
        <v>39</v>
      </c>
      <c r="B42" s="92" t="s">
        <v>42</v>
      </c>
      <c r="C42" s="100">
        <v>2071</v>
      </c>
      <c r="D42" s="100">
        <v>14318</v>
      </c>
      <c r="E42" s="100">
        <f>5174+6350+5956+4820</f>
        <v>22300</v>
      </c>
      <c r="F42" s="100">
        <f>8800+10642+9320+6683</f>
        <v>35445</v>
      </c>
      <c r="G42" s="100">
        <f>896+895+736+724</f>
        <v>3251</v>
      </c>
      <c r="H42" s="100">
        <f>694+626+505+530</f>
        <v>2355</v>
      </c>
      <c r="I42" s="100">
        <f t="shared" si="2"/>
        <v>896</v>
      </c>
      <c r="J42" s="100">
        <v>3</v>
      </c>
    </row>
    <row r="43" spans="1:10" x14ac:dyDescent="0.25">
      <c r="A43" s="99">
        <v>40</v>
      </c>
      <c r="B43" s="92" t="s">
        <v>43</v>
      </c>
      <c r="C43" s="100">
        <v>3881</v>
      </c>
      <c r="D43" s="100">
        <v>26269</v>
      </c>
      <c r="E43" s="100"/>
      <c r="F43" s="100"/>
      <c r="G43" s="100"/>
      <c r="H43" s="100"/>
      <c r="I43" s="100">
        <f t="shared" si="2"/>
        <v>0</v>
      </c>
      <c r="J43" s="100"/>
    </row>
    <row r="44" spans="1:10" x14ac:dyDescent="0.25">
      <c r="A44" s="97">
        <v>41</v>
      </c>
      <c r="B44" s="92" t="s">
        <v>44</v>
      </c>
      <c r="C44" s="100">
        <v>1686</v>
      </c>
      <c r="D44" s="100">
        <v>9967</v>
      </c>
      <c r="E44" s="100">
        <v>7033</v>
      </c>
      <c r="F44" s="100">
        <v>6430</v>
      </c>
      <c r="G44" s="100">
        <f>623+740+537+367</f>
        <v>2267</v>
      </c>
      <c r="H44" s="100">
        <f>504+583+442+298</f>
        <v>1827</v>
      </c>
      <c r="I44" s="100">
        <f t="shared" si="2"/>
        <v>440</v>
      </c>
      <c r="J44" s="100"/>
    </row>
    <row r="45" spans="1:10" ht="15.75" x14ac:dyDescent="0.25">
      <c r="A45" s="99">
        <v>42</v>
      </c>
      <c r="B45" s="92" t="s">
        <v>45</v>
      </c>
      <c r="C45" s="106">
        <v>400</v>
      </c>
      <c r="D45" s="100">
        <v>2524</v>
      </c>
      <c r="E45" s="100">
        <f>270+100+722+510</f>
        <v>1602</v>
      </c>
      <c r="F45" s="100">
        <f>300+100+800+560</f>
        <v>1760</v>
      </c>
      <c r="G45" s="100">
        <f>775+853+798+813</f>
        <v>3239</v>
      </c>
      <c r="H45" s="100">
        <f>576+628+552+572</f>
        <v>2328</v>
      </c>
      <c r="I45" s="100">
        <f t="shared" si="2"/>
        <v>911</v>
      </c>
      <c r="J45" s="100"/>
    </row>
    <row r="46" spans="1:10" x14ac:dyDescent="0.25">
      <c r="A46" s="97">
        <v>43</v>
      </c>
      <c r="B46" s="92" t="s">
        <v>46</v>
      </c>
      <c r="C46" s="100">
        <v>2328</v>
      </c>
      <c r="D46" s="100">
        <v>13748</v>
      </c>
      <c r="E46" s="100"/>
      <c r="F46" s="100"/>
      <c r="G46" s="100"/>
      <c r="H46" s="100"/>
      <c r="I46" s="100">
        <f t="shared" si="2"/>
        <v>0</v>
      </c>
      <c r="J46" s="100"/>
    </row>
    <row r="47" spans="1:10" x14ac:dyDescent="0.25">
      <c r="A47" s="99">
        <v>44</v>
      </c>
      <c r="B47" s="92" t="s">
        <v>47</v>
      </c>
      <c r="C47" s="100">
        <v>645</v>
      </c>
      <c r="D47" s="100">
        <v>3308</v>
      </c>
      <c r="E47" s="100">
        <v>710</v>
      </c>
      <c r="F47" s="100"/>
      <c r="G47" s="100">
        <f>H47+I47</f>
        <v>3803</v>
      </c>
      <c r="H47" s="100">
        <v>2781</v>
      </c>
      <c r="I47" s="100">
        <v>1022</v>
      </c>
      <c r="J47" s="100"/>
    </row>
    <row r="48" spans="1:10" x14ac:dyDescent="0.25">
      <c r="A48" s="97">
        <v>45</v>
      </c>
      <c r="B48" s="92" t="s">
        <v>48</v>
      </c>
      <c r="C48" s="100">
        <f>1233</f>
        <v>1233</v>
      </c>
      <c r="D48" s="100">
        <v>8116</v>
      </c>
      <c r="E48" s="100">
        <f>4242+3746+3751+3052</f>
        <v>14791</v>
      </c>
      <c r="F48" s="100">
        <f>5685+5191+5037+4525</f>
        <v>20438</v>
      </c>
      <c r="G48" s="100">
        <f>974+1030+1104+548</f>
        <v>3656</v>
      </c>
      <c r="H48" s="100">
        <f>829+818+749+398</f>
        <v>2794</v>
      </c>
      <c r="I48" s="100">
        <f t="shared" si="2"/>
        <v>862</v>
      </c>
      <c r="J48" s="100">
        <v>20</v>
      </c>
    </row>
    <row r="49" spans="1:10" x14ac:dyDescent="0.25">
      <c r="A49" s="99">
        <v>46</v>
      </c>
      <c r="B49" s="92" t="s">
        <v>49</v>
      </c>
      <c r="C49" s="100">
        <v>1252</v>
      </c>
      <c r="D49" s="100">
        <v>6536</v>
      </c>
      <c r="E49" s="100">
        <f>5448+5307+4320+6536</f>
        <v>21611</v>
      </c>
      <c r="F49" s="100">
        <f>6930+6885+6536+6536</f>
        <v>26887</v>
      </c>
      <c r="G49" s="100">
        <f>2072+2186+2185+791</f>
        <v>7234</v>
      </c>
      <c r="H49" s="100">
        <f>1734+1852+1745+631</f>
        <v>5962</v>
      </c>
      <c r="I49" s="100">
        <f t="shared" si="2"/>
        <v>1272</v>
      </c>
      <c r="J49" s="100">
        <v>0</v>
      </c>
    </row>
    <row r="50" spans="1:10" x14ac:dyDescent="0.25">
      <c r="A50" s="97">
        <v>47</v>
      </c>
      <c r="B50" s="92" t="s">
        <v>50</v>
      </c>
      <c r="C50" s="100">
        <v>971</v>
      </c>
      <c r="D50" s="100">
        <v>6911</v>
      </c>
      <c r="E50" s="100">
        <f>6911+3721+6919+5511</f>
        <v>23062</v>
      </c>
      <c r="F50" s="100">
        <f>E50</f>
        <v>23062</v>
      </c>
      <c r="G50" s="100">
        <f>2819+2831+2825+1237</f>
        <v>9712</v>
      </c>
      <c r="H50" s="100">
        <f>2268+2393+2406+971</f>
        <v>8038</v>
      </c>
      <c r="I50" s="100">
        <f t="shared" si="2"/>
        <v>1674</v>
      </c>
      <c r="J50" s="100"/>
    </row>
    <row r="51" spans="1:10" x14ac:dyDescent="0.25">
      <c r="A51" s="99">
        <v>48</v>
      </c>
      <c r="B51" s="92" t="s">
        <v>51</v>
      </c>
      <c r="C51" s="100">
        <v>1469</v>
      </c>
      <c r="D51" s="100">
        <v>9138</v>
      </c>
      <c r="E51" s="100">
        <f>2044+2566+5879+7454</f>
        <v>17943</v>
      </c>
      <c r="F51" s="100">
        <f>8962+8951+9138+9138</f>
        <v>36189</v>
      </c>
      <c r="G51" s="100">
        <f>1914+2209+1548+1596</f>
        <v>7267</v>
      </c>
      <c r="H51" s="100">
        <f>1480+1733+1232+1358</f>
        <v>5803</v>
      </c>
      <c r="I51" s="100">
        <f t="shared" si="2"/>
        <v>1464</v>
      </c>
      <c r="J51" s="100">
        <v>0</v>
      </c>
    </row>
    <row r="52" spans="1:10" x14ac:dyDescent="0.25">
      <c r="A52" s="97">
        <v>49</v>
      </c>
      <c r="B52" s="92" t="s">
        <v>52</v>
      </c>
      <c r="C52" s="100">
        <v>845</v>
      </c>
      <c r="D52" s="100">
        <v>5403</v>
      </c>
      <c r="E52" s="100">
        <f>3109+2329+2589+2399</f>
        <v>10426</v>
      </c>
      <c r="F52" s="100">
        <f>3109+2329+2589+2399</f>
        <v>10426</v>
      </c>
      <c r="G52" s="100">
        <f>645+637+780+316</f>
        <v>2378</v>
      </c>
      <c r="H52" s="100">
        <f>518+506+612+190</f>
        <v>1826</v>
      </c>
      <c r="I52" s="100">
        <f t="shared" si="2"/>
        <v>552</v>
      </c>
      <c r="J52" s="100">
        <v>9</v>
      </c>
    </row>
    <row r="53" spans="1:10" x14ac:dyDescent="0.25">
      <c r="A53" s="99">
        <v>50</v>
      </c>
      <c r="B53" s="92" t="s">
        <v>53</v>
      </c>
      <c r="C53" s="100">
        <v>784</v>
      </c>
      <c r="D53" s="100">
        <v>4292</v>
      </c>
      <c r="E53" s="100">
        <f>4292+4272+4261+4304</f>
        <v>17129</v>
      </c>
      <c r="F53" s="100">
        <f>4032+3974+3837+3707</f>
        <v>15550</v>
      </c>
      <c r="G53" s="100">
        <f>4952+3939+2632+3131</f>
        <v>14654</v>
      </c>
      <c r="H53" s="100">
        <f>4246+3294+2202+2627</f>
        <v>12369</v>
      </c>
      <c r="I53" s="100">
        <f t="shared" si="2"/>
        <v>2285</v>
      </c>
      <c r="J53" s="100">
        <v>1</v>
      </c>
    </row>
    <row r="54" spans="1:10" x14ac:dyDescent="0.25">
      <c r="A54" s="97">
        <v>51</v>
      </c>
      <c r="B54" s="92" t="s">
        <v>54</v>
      </c>
      <c r="C54" s="100">
        <v>2525</v>
      </c>
      <c r="D54" s="100">
        <v>14999</v>
      </c>
      <c r="E54" s="100">
        <f>41279</f>
        <v>41279</v>
      </c>
      <c r="F54" s="100">
        <f>27451</f>
        <v>27451</v>
      </c>
      <c r="G54" s="100">
        <v>6864</v>
      </c>
      <c r="H54" s="100">
        <v>5903</v>
      </c>
      <c r="I54" s="100">
        <f t="shared" si="2"/>
        <v>961</v>
      </c>
      <c r="J54" s="100">
        <v>0</v>
      </c>
    </row>
    <row r="55" spans="1:10" x14ac:dyDescent="0.25">
      <c r="A55" s="99">
        <v>52</v>
      </c>
      <c r="B55" s="92" t="s">
        <v>55</v>
      </c>
      <c r="C55" s="100">
        <v>559</v>
      </c>
      <c r="D55" s="100">
        <v>3726</v>
      </c>
      <c r="E55" s="100">
        <v>2780</v>
      </c>
      <c r="F55" s="100">
        <v>2216</v>
      </c>
      <c r="G55" s="100">
        <f>849+819+521+359</f>
        <v>2548</v>
      </c>
      <c r="H55" s="100">
        <f>719+687+460+322</f>
        <v>2188</v>
      </c>
      <c r="I55" s="100">
        <f t="shared" si="2"/>
        <v>360</v>
      </c>
      <c r="J55" s="100"/>
    </row>
    <row r="56" spans="1:10" x14ac:dyDescent="0.25">
      <c r="A56" s="97">
        <v>53</v>
      </c>
      <c r="B56" s="92" t="s">
        <v>56</v>
      </c>
      <c r="C56" s="100">
        <v>1769</v>
      </c>
      <c r="D56" s="100">
        <v>13443</v>
      </c>
      <c r="E56" s="100"/>
      <c r="F56" s="100"/>
      <c r="G56" s="100">
        <v>8879</v>
      </c>
      <c r="H56" s="100">
        <v>6924</v>
      </c>
      <c r="I56" s="100">
        <f t="shared" si="2"/>
        <v>1955</v>
      </c>
      <c r="J56" s="100"/>
    </row>
    <row r="57" spans="1:10" x14ac:dyDescent="0.25">
      <c r="A57" s="99">
        <v>54</v>
      </c>
      <c r="B57" s="92" t="s">
        <v>57</v>
      </c>
      <c r="C57" s="100">
        <v>2253</v>
      </c>
      <c r="D57" s="100">
        <v>15939</v>
      </c>
      <c r="E57" s="100">
        <f>D57</f>
        <v>15939</v>
      </c>
      <c r="F57" s="100">
        <f>E57</f>
        <v>15939</v>
      </c>
      <c r="G57" s="100">
        <v>0</v>
      </c>
      <c r="H57" s="100">
        <v>0</v>
      </c>
      <c r="I57" s="100">
        <f t="shared" si="2"/>
        <v>0</v>
      </c>
      <c r="J57" s="100"/>
    </row>
    <row r="58" spans="1:10" x14ac:dyDescent="0.25">
      <c r="A58" s="97">
        <v>55</v>
      </c>
      <c r="B58" s="92" t="s">
        <v>58</v>
      </c>
      <c r="C58" s="100">
        <v>4151</v>
      </c>
      <c r="D58" s="100">
        <v>26909</v>
      </c>
      <c r="E58" s="100">
        <f>6300+4590+5200+6500</f>
        <v>22590</v>
      </c>
      <c r="F58" s="100">
        <f>22909</f>
        <v>22909</v>
      </c>
      <c r="G58" s="100">
        <f>4064+4178+4635</f>
        <v>12877</v>
      </c>
      <c r="H58" s="100">
        <f>3454+3562+3925</f>
        <v>10941</v>
      </c>
      <c r="I58" s="100">
        <f t="shared" si="2"/>
        <v>1936</v>
      </c>
      <c r="J58" s="100"/>
    </row>
    <row r="59" spans="1:10" x14ac:dyDescent="0.25">
      <c r="A59" s="99">
        <v>56</v>
      </c>
      <c r="B59" s="92" t="s">
        <v>59</v>
      </c>
      <c r="C59" s="100">
        <v>1106</v>
      </c>
      <c r="D59" s="100">
        <v>6698</v>
      </c>
      <c r="E59" s="100">
        <f>3589+4984+4888</f>
        <v>13461</v>
      </c>
      <c r="F59" s="100">
        <f>5365+6124+6276</f>
        <v>17765</v>
      </c>
      <c r="G59" s="100">
        <f>937+994+871</f>
        <v>2802</v>
      </c>
      <c r="H59" s="100">
        <f>760+761+713</f>
        <v>2234</v>
      </c>
      <c r="I59" s="100">
        <f t="shared" si="2"/>
        <v>568</v>
      </c>
      <c r="J59" s="100"/>
    </row>
    <row r="60" spans="1:10" x14ac:dyDescent="0.25">
      <c r="A60" s="97">
        <v>57</v>
      </c>
      <c r="B60" s="92" t="s">
        <v>60</v>
      </c>
      <c r="C60" s="100">
        <v>1036</v>
      </c>
      <c r="D60" s="100">
        <v>6887</v>
      </c>
      <c r="E60" s="100">
        <f>6843+6748+6887</f>
        <v>20478</v>
      </c>
      <c r="F60" s="100">
        <f>6843+6748+6751+6887</f>
        <v>27229</v>
      </c>
      <c r="G60" s="100">
        <f>1360+1720+947+759</f>
        <v>4786</v>
      </c>
      <c r="H60" s="100">
        <f>1197+1559+832+383</f>
        <v>3971</v>
      </c>
      <c r="I60" s="100">
        <f t="shared" si="2"/>
        <v>815</v>
      </c>
      <c r="J60" s="100"/>
    </row>
    <row r="61" spans="1:10" x14ac:dyDescent="0.25">
      <c r="A61" s="99">
        <v>58</v>
      </c>
      <c r="B61" s="92" t="s">
        <v>61</v>
      </c>
      <c r="C61" s="100">
        <v>2135</v>
      </c>
      <c r="D61" s="100">
        <f>11413</f>
        <v>11413</v>
      </c>
      <c r="E61" s="100">
        <f>12518+11468+10678+10577</f>
        <v>45241</v>
      </c>
      <c r="F61" s="100">
        <f>11602+10291+9566+9519</f>
        <v>40978</v>
      </c>
      <c r="G61" s="100">
        <f>1401+1301+647+742</f>
        <v>4091</v>
      </c>
      <c r="H61" s="100">
        <f>1211+1131+579+678</f>
        <v>3599</v>
      </c>
      <c r="I61" s="100">
        <f t="shared" si="2"/>
        <v>492</v>
      </c>
      <c r="J61" s="100">
        <f>7+16+8</f>
        <v>31</v>
      </c>
    </row>
    <row r="62" spans="1:10" x14ac:dyDescent="0.25">
      <c r="A62" s="97">
        <v>59</v>
      </c>
      <c r="B62" s="92" t="s">
        <v>62</v>
      </c>
      <c r="C62" s="100">
        <v>756</v>
      </c>
      <c r="D62" s="100">
        <v>5739</v>
      </c>
      <c r="E62" s="100">
        <f>5665+5408+4954+5388</f>
        <v>21415</v>
      </c>
      <c r="F62" s="100">
        <f>5665+5408+4954+5388</f>
        <v>21415</v>
      </c>
      <c r="G62" s="100">
        <f>615+1694+1352+745</f>
        <v>4406</v>
      </c>
      <c r="H62" s="100">
        <f>470+1353+1050+565</f>
        <v>3438</v>
      </c>
      <c r="I62" s="100">
        <f t="shared" si="2"/>
        <v>968</v>
      </c>
      <c r="J62" s="100"/>
    </row>
    <row r="63" spans="1:10" x14ac:dyDescent="0.25">
      <c r="A63" s="99">
        <v>60</v>
      </c>
      <c r="B63" s="92" t="s">
        <v>63</v>
      </c>
      <c r="C63" s="100">
        <v>1733</v>
      </c>
      <c r="D63" s="100">
        <v>10592</v>
      </c>
      <c r="E63" s="100">
        <v>30924</v>
      </c>
      <c r="F63" s="100">
        <v>38902</v>
      </c>
      <c r="G63" s="100">
        <v>18720</v>
      </c>
      <c r="H63" s="100">
        <v>16365</v>
      </c>
      <c r="I63" s="100">
        <f t="shared" si="2"/>
        <v>2355</v>
      </c>
      <c r="J63" s="100">
        <v>1</v>
      </c>
    </row>
    <row r="64" spans="1:10" x14ac:dyDescent="0.25">
      <c r="A64" s="97">
        <v>61</v>
      </c>
      <c r="B64" s="92" t="s">
        <v>64</v>
      </c>
      <c r="C64" s="100">
        <v>752</v>
      </c>
      <c r="D64" s="100">
        <v>5599</v>
      </c>
      <c r="E64" s="100">
        <f>3729+3720+3776+4645</f>
        <v>15870</v>
      </c>
      <c r="F64" s="100">
        <f>5968+5497+5418+5454</f>
        <v>22337</v>
      </c>
      <c r="G64" s="100">
        <f>1450+1414+1053+930</f>
        <v>4847</v>
      </c>
      <c r="H64" s="100">
        <f>1302+1268+997+870</f>
        <v>4437</v>
      </c>
      <c r="I64" s="100">
        <f t="shared" si="2"/>
        <v>410</v>
      </c>
      <c r="J64" s="100">
        <v>29</v>
      </c>
    </row>
    <row r="65" spans="1:10" x14ac:dyDescent="0.25">
      <c r="A65" s="99">
        <v>62</v>
      </c>
      <c r="B65" s="92" t="s">
        <v>65</v>
      </c>
      <c r="C65" s="100">
        <v>1278</v>
      </c>
      <c r="D65" s="100">
        <v>7466</v>
      </c>
      <c r="E65" s="100">
        <f>7361+7229+7202+7466</f>
        <v>29258</v>
      </c>
      <c r="F65" s="100">
        <f>E65</f>
        <v>29258</v>
      </c>
      <c r="G65" s="100">
        <f>1417+1283+1323+1332</f>
        <v>5355</v>
      </c>
      <c r="H65" s="100">
        <f>1190+1078+1104+1106</f>
        <v>4478</v>
      </c>
      <c r="I65" s="100">
        <f t="shared" si="2"/>
        <v>877</v>
      </c>
      <c r="J65" s="100">
        <v>17</v>
      </c>
    </row>
    <row r="66" spans="1:10" x14ac:dyDescent="0.25">
      <c r="A66" s="97">
        <v>63</v>
      </c>
      <c r="B66" s="92" t="s">
        <v>66</v>
      </c>
      <c r="C66" s="100">
        <v>1396</v>
      </c>
      <c r="D66" s="100">
        <v>8630</v>
      </c>
      <c r="E66" s="100">
        <v>5132</v>
      </c>
      <c r="F66" s="100">
        <v>5561</v>
      </c>
      <c r="G66" s="100">
        <f>1851+2243+2138+1699</f>
        <v>7931</v>
      </c>
      <c r="H66" s="100">
        <f>1680+1936+1780+1561</f>
        <v>6957</v>
      </c>
      <c r="I66" s="100">
        <f t="shared" si="2"/>
        <v>974</v>
      </c>
      <c r="J66" s="100"/>
    </row>
    <row r="67" spans="1:10" x14ac:dyDescent="0.25">
      <c r="A67" s="93"/>
      <c r="B67" s="93"/>
      <c r="C67" s="105"/>
      <c r="D67" s="105"/>
      <c r="E67" s="93"/>
      <c r="F67" s="93"/>
      <c r="G67" s="93"/>
      <c r="H67" s="93"/>
      <c r="I67" s="93"/>
      <c r="J67" s="93"/>
    </row>
  </sheetData>
  <mergeCells count="5">
    <mergeCell ref="B1:J1"/>
    <mergeCell ref="B2:B3"/>
    <mergeCell ref="C2:F2"/>
    <mergeCell ref="G2:J2"/>
    <mergeCell ref="A2:A3"/>
  </mergeCells>
  <pageMargins left="0.7" right="0.7" top="0.75" bottom="0.75" header="0.3" footer="0.3"/>
  <pageSetup paperSize="9" orientation="landscape" r:id="rId1"/>
  <headerFooter differentFirst="1">
    <oddHeader>&amp;C&amp;P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68"/>
  <sheetViews>
    <sheetView view="pageLayout" zoomScaleNormal="100" workbookViewId="0">
      <selection activeCell="D10" sqref="D10"/>
    </sheetView>
  </sheetViews>
  <sheetFormatPr defaultRowHeight="15" x14ac:dyDescent="0.25"/>
  <cols>
    <col min="1" max="1" width="5" customWidth="1"/>
    <col min="2" max="2" width="10.140625" customWidth="1"/>
    <col min="3" max="3" width="24.5703125" customWidth="1"/>
    <col min="4" max="4" width="9.85546875" customWidth="1"/>
    <col min="10" max="10" width="11.85546875" customWidth="1"/>
    <col min="11" max="11" width="11.42578125" customWidth="1"/>
  </cols>
  <sheetData>
    <row r="2" spans="1:11" ht="18.75" x14ac:dyDescent="0.3">
      <c r="B2" s="181" t="s">
        <v>89</v>
      </c>
      <c r="C2" s="181"/>
      <c r="D2" s="181"/>
      <c r="E2" s="181"/>
      <c r="F2" s="181"/>
      <c r="G2" s="181"/>
      <c r="H2" s="181"/>
      <c r="I2" s="181"/>
      <c r="J2" s="181"/>
    </row>
    <row r="3" spans="1:11" x14ac:dyDescent="0.25">
      <c r="B3" s="44"/>
      <c r="C3" s="44"/>
      <c r="D3" s="44"/>
      <c r="E3" s="44"/>
      <c r="F3" s="44"/>
      <c r="G3" s="44"/>
      <c r="H3" s="44"/>
      <c r="I3" s="44"/>
      <c r="J3" s="44"/>
    </row>
    <row r="4" spans="1:11" ht="66" customHeight="1" x14ac:dyDescent="0.25">
      <c r="A4" s="164" t="s">
        <v>0</v>
      </c>
      <c r="B4" s="166" t="s">
        <v>108</v>
      </c>
      <c r="C4" s="167" t="s">
        <v>90</v>
      </c>
      <c r="D4" s="168" t="s">
        <v>96</v>
      </c>
      <c r="E4" s="168"/>
      <c r="F4" s="168"/>
      <c r="G4" s="168" t="s">
        <v>97</v>
      </c>
      <c r="H4" s="168"/>
      <c r="I4" s="168"/>
      <c r="J4" s="168" t="s">
        <v>98</v>
      </c>
      <c r="K4" s="168"/>
    </row>
    <row r="5" spans="1:11" ht="60" customHeight="1" x14ac:dyDescent="0.25">
      <c r="A5" s="165"/>
      <c r="B5" s="166"/>
      <c r="C5" s="167"/>
      <c r="D5" s="60" t="s">
        <v>91</v>
      </c>
      <c r="E5" s="60" t="s">
        <v>92</v>
      </c>
      <c r="F5" s="60" t="s">
        <v>93</v>
      </c>
      <c r="G5" s="60" t="s">
        <v>91</v>
      </c>
      <c r="H5" s="60" t="s">
        <v>92</v>
      </c>
      <c r="I5" s="60" t="s">
        <v>93</v>
      </c>
      <c r="J5" s="60" t="s">
        <v>94</v>
      </c>
      <c r="K5" s="112" t="s">
        <v>95</v>
      </c>
    </row>
    <row r="6" spans="1:11" x14ac:dyDescent="0.25">
      <c r="A6" s="113">
        <v>1</v>
      </c>
      <c r="B6" s="110" t="s">
        <v>5</v>
      </c>
      <c r="C6" s="112"/>
      <c r="D6" s="114" t="s">
        <v>114</v>
      </c>
      <c r="E6" s="114">
        <v>1</v>
      </c>
      <c r="F6" s="114">
        <v>72</v>
      </c>
      <c r="G6" s="114" t="s">
        <v>114</v>
      </c>
      <c r="H6" s="114">
        <f>46+46+57+26</f>
        <v>175</v>
      </c>
      <c r="I6" s="114">
        <f>3843+3535+2645+2296</f>
        <v>12319</v>
      </c>
      <c r="J6" s="114">
        <v>72</v>
      </c>
      <c r="K6" s="114">
        <f>2814+2899+2680+2438</f>
        <v>10831</v>
      </c>
    </row>
    <row r="7" spans="1:11" ht="30" x14ac:dyDescent="0.25">
      <c r="A7" s="115">
        <v>2</v>
      </c>
      <c r="B7" s="110" t="s">
        <v>6</v>
      </c>
      <c r="C7" s="112"/>
      <c r="D7" s="114"/>
      <c r="E7" s="114"/>
      <c r="F7" s="114"/>
      <c r="G7" s="114"/>
      <c r="H7" s="114"/>
      <c r="I7" s="114">
        <v>10000</v>
      </c>
      <c r="J7" s="114"/>
      <c r="K7" s="114">
        <f>32341+19311</f>
        <v>51652</v>
      </c>
    </row>
    <row r="8" spans="1:11" x14ac:dyDescent="0.25">
      <c r="A8" s="113">
        <v>3</v>
      </c>
      <c r="B8" s="110" t="s">
        <v>7</v>
      </c>
      <c r="C8" s="112"/>
      <c r="D8" s="114" t="s">
        <v>114</v>
      </c>
      <c r="E8" s="114"/>
      <c r="F8" s="114">
        <f>72*4</f>
        <v>288</v>
      </c>
      <c r="G8" s="114" t="s">
        <v>114</v>
      </c>
      <c r="H8" s="114">
        <v>38</v>
      </c>
      <c r="I8" s="114">
        <f>2675+12125+11345+14275</f>
        <v>40420</v>
      </c>
      <c r="J8" s="114">
        <v>77</v>
      </c>
      <c r="K8" s="114">
        <f>3854+2756+1895+4250</f>
        <v>12755</v>
      </c>
    </row>
    <row r="9" spans="1:11" x14ac:dyDescent="0.25">
      <c r="A9" s="115">
        <v>4</v>
      </c>
      <c r="B9" s="59" t="s">
        <v>8</v>
      </c>
      <c r="C9" s="112"/>
      <c r="D9" s="114" t="s">
        <v>114</v>
      </c>
      <c r="E9" s="114">
        <v>4</v>
      </c>
      <c r="F9" s="114">
        <v>280</v>
      </c>
      <c r="G9" s="114" t="s">
        <v>114</v>
      </c>
      <c r="H9" s="114">
        <v>69</v>
      </c>
      <c r="I9" s="114">
        <f>1949+1666+1231</f>
        <v>4846</v>
      </c>
      <c r="J9" s="114">
        <f>31</f>
        <v>31</v>
      </c>
      <c r="K9" s="114">
        <f>2882+2566+2301</f>
        <v>7749</v>
      </c>
    </row>
    <row r="10" spans="1:11" ht="60" x14ac:dyDescent="0.25">
      <c r="A10" s="113">
        <v>5</v>
      </c>
      <c r="B10" s="59" t="s">
        <v>9</v>
      </c>
      <c r="C10" s="112"/>
      <c r="D10" s="116" t="s">
        <v>115</v>
      </c>
      <c r="E10" s="114">
        <v>10</v>
      </c>
      <c r="F10" s="114">
        <f>53*4</f>
        <v>212</v>
      </c>
      <c r="G10" s="116" t="s">
        <v>115</v>
      </c>
      <c r="H10" s="114">
        <f>36+26+13+68</f>
        <v>143</v>
      </c>
      <c r="I10" s="114">
        <f>2479+1702+828+2847</f>
        <v>7856</v>
      </c>
      <c r="J10" s="114">
        <f>152+61+78+123</f>
        <v>414</v>
      </c>
      <c r="K10" s="114">
        <f>1159+1296+1111+1002</f>
        <v>4568</v>
      </c>
    </row>
    <row r="11" spans="1:11" x14ac:dyDescent="0.25">
      <c r="A11" s="115">
        <v>6</v>
      </c>
      <c r="B11" s="110" t="s">
        <v>10</v>
      </c>
      <c r="C11" s="112"/>
      <c r="D11" s="114" t="s">
        <v>127</v>
      </c>
      <c r="E11" s="114">
        <v>1</v>
      </c>
      <c r="F11" s="114">
        <v>40</v>
      </c>
      <c r="G11" s="114" t="s">
        <v>114</v>
      </c>
      <c r="H11" s="114">
        <v>28</v>
      </c>
      <c r="I11" s="114">
        <f>1675+1130+3218+1189</f>
        <v>7212</v>
      </c>
      <c r="J11" s="114">
        <v>0</v>
      </c>
      <c r="K11" s="114">
        <v>0</v>
      </c>
    </row>
    <row r="12" spans="1:11" ht="61.5" customHeight="1" x14ac:dyDescent="0.25">
      <c r="A12" s="113">
        <v>7</v>
      </c>
      <c r="B12" s="110" t="s">
        <v>11</v>
      </c>
      <c r="C12" s="112"/>
      <c r="D12" s="116" t="s">
        <v>115</v>
      </c>
      <c r="E12" s="114">
        <v>1</v>
      </c>
      <c r="F12" s="114">
        <v>49</v>
      </c>
      <c r="G12" s="117" t="s">
        <v>114</v>
      </c>
      <c r="H12" s="114">
        <v>53</v>
      </c>
      <c r="I12" s="114">
        <f>440+3438</f>
        <v>3878</v>
      </c>
      <c r="J12" s="114">
        <f>43+35+55+24</f>
        <v>157</v>
      </c>
      <c r="K12" s="114">
        <f>J12</f>
        <v>157</v>
      </c>
    </row>
    <row r="13" spans="1:11" ht="60" x14ac:dyDescent="0.25">
      <c r="A13" s="115">
        <v>8</v>
      </c>
      <c r="B13" s="110" t="s">
        <v>12</v>
      </c>
      <c r="C13" s="112"/>
      <c r="D13" s="114"/>
      <c r="E13" s="114">
        <v>0</v>
      </c>
      <c r="F13" s="114">
        <v>0</v>
      </c>
      <c r="G13" s="116" t="s">
        <v>118</v>
      </c>
      <c r="H13" s="114">
        <v>21</v>
      </c>
      <c r="I13" s="114">
        <f>1200+450+820+1890</f>
        <v>4360</v>
      </c>
      <c r="J13" s="114">
        <v>22</v>
      </c>
      <c r="K13" s="114">
        <v>75000</v>
      </c>
    </row>
    <row r="14" spans="1:11" ht="30" x14ac:dyDescent="0.25">
      <c r="A14" s="113">
        <v>9</v>
      </c>
      <c r="B14" s="110" t="s">
        <v>13</v>
      </c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30" x14ac:dyDescent="0.25">
      <c r="A15" s="115">
        <v>10</v>
      </c>
      <c r="B15" s="59" t="s">
        <v>130</v>
      </c>
      <c r="C15" s="112"/>
      <c r="D15" s="114" t="s">
        <v>114</v>
      </c>
      <c r="E15" s="114">
        <v>1</v>
      </c>
      <c r="F15" s="114">
        <v>87</v>
      </c>
      <c r="G15" s="114" t="s">
        <v>114</v>
      </c>
      <c r="H15" s="114">
        <f>39+16+15+15</f>
        <v>85</v>
      </c>
      <c r="I15" s="114">
        <f>3597+2231+2304+1063</f>
        <v>9195</v>
      </c>
      <c r="J15" s="114">
        <f>69+70+47+101</f>
        <v>287</v>
      </c>
      <c r="K15" s="114">
        <f>2438+1672+2399+2030</f>
        <v>8539</v>
      </c>
    </row>
    <row r="16" spans="1:11" ht="45" x14ac:dyDescent="0.25">
      <c r="A16" s="113">
        <v>11</v>
      </c>
      <c r="B16" s="110" t="s">
        <v>14</v>
      </c>
      <c r="C16" s="112"/>
      <c r="D16" s="114"/>
      <c r="E16" s="114"/>
      <c r="F16" s="114"/>
      <c r="G16" s="116" t="s">
        <v>147</v>
      </c>
      <c r="H16" s="114">
        <v>6</v>
      </c>
      <c r="I16" s="114"/>
      <c r="J16" s="114"/>
      <c r="K16" s="114"/>
    </row>
    <row r="17" spans="1:11" ht="75" x14ac:dyDescent="0.25">
      <c r="A17" s="115">
        <v>12</v>
      </c>
      <c r="B17" s="110" t="s">
        <v>15</v>
      </c>
      <c r="C17" s="112" t="s">
        <v>120</v>
      </c>
      <c r="D17" s="114" t="s">
        <v>114</v>
      </c>
      <c r="E17" s="114">
        <v>1</v>
      </c>
      <c r="F17" s="114">
        <v>64</v>
      </c>
      <c r="G17" s="116" t="s">
        <v>121</v>
      </c>
      <c r="H17" s="114">
        <v>2</v>
      </c>
      <c r="I17" s="114">
        <v>1050</v>
      </c>
      <c r="J17" s="114">
        <v>64</v>
      </c>
      <c r="K17" s="114">
        <f>3793+4427+3996+4658</f>
        <v>16874</v>
      </c>
    </row>
    <row r="18" spans="1:11" x14ac:dyDescent="0.25">
      <c r="A18" s="113">
        <v>13</v>
      </c>
      <c r="B18" s="110" t="s">
        <v>16</v>
      </c>
      <c r="C18" s="112"/>
      <c r="D18" s="114"/>
      <c r="E18" s="114"/>
      <c r="F18" s="114"/>
      <c r="G18" s="114"/>
      <c r="H18" s="114"/>
      <c r="I18" s="114"/>
      <c r="J18" s="114"/>
      <c r="K18" s="114"/>
    </row>
    <row r="19" spans="1:11" x14ac:dyDescent="0.25">
      <c r="A19" s="115">
        <v>14</v>
      </c>
      <c r="B19" s="110" t="s">
        <v>17</v>
      </c>
      <c r="C19" s="112"/>
      <c r="D19" s="114" t="s">
        <v>114</v>
      </c>
      <c r="E19" s="114">
        <v>2</v>
      </c>
      <c r="F19" s="114">
        <v>75</v>
      </c>
      <c r="G19" s="114" t="s">
        <v>133</v>
      </c>
      <c r="H19" s="114">
        <v>42</v>
      </c>
      <c r="I19" s="114">
        <f>1348+1107+390+1132</f>
        <v>3977</v>
      </c>
      <c r="J19" s="114">
        <v>23</v>
      </c>
      <c r="K19" s="114">
        <f>1398+1405+405+1143</f>
        <v>4351</v>
      </c>
    </row>
    <row r="20" spans="1:11" x14ac:dyDescent="0.25">
      <c r="A20" s="113">
        <v>15</v>
      </c>
      <c r="B20" s="110" t="s">
        <v>18</v>
      </c>
      <c r="C20" s="112"/>
      <c r="D20" s="114" t="s">
        <v>114</v>
      </c>
      <c r="E20" s="114">
        <v>2</v>
      </c>
      <c r="F20" s="114">
        <f>15+12+5+15</f>
        <v>47</v>
      </c>
      <c r="G20" s="114" t="s">
        <v>114</v>
      </c>
      <c r="H20" s="114">
        <f>87+64+46+128</f>
        <v>325</v>
      </c>
      <c r="I20" s="114">
        <f>12833+8259+9560+12137</f>
        <v>42789</v>
      </c>
      <c r="J20" s="114">
        <f>17+17+17+25</f>
        <v>76</v>
      </c>
      <c r="K20" s="114">
        <f>5697+6000+5200+5447</f>
        <v>22344</v>
      </c>
    </row>
    <row r="21" spans="1:11" x14ac:dyDescent="0.25">
      <c r="A21" s="115">
        <v>16</v>
      </c>
      <c r="B21" s="59" t="s">
        <v>19</v>
      </c>
      <c r="C21" s="112"/>
      <c r="D21" s="114" t="s">
        <v>114</v>
      </c>
      <c r="E21" s="114">
        <v>1</v>
      </c>
      <c r="F21" s="114">
        <v>86</v>
      </c>
      <c r="G21" s="114" t="s">
        <v>114</v>
      </c>
      <c r="H21" s="114">
        <v>92</v>
      </c>
      <c r="I21" s="114">
        <f>2300+560+1120+4313</f>
        <v>8293</v>
      </c>
      <c r="J21" s="114">
        <v>93</v>
      </c>
      <c r="K21" s="114">
        <f>8371+8925+8640+8293</f>
        <v>34229</v>
      </c>
    </row>
    <row r="22" spans="1:11" ht="60" x14ac:dyDescent="0.25">
      <c r="A22" s="113">
        <v>17</v>
      </c>
      <c r="B22" s="110" t="s">
        <v>20</v>
      </c>
      <c r="C22" s="112"/>
      <c r="D22" s="114" t="s">
        <v>114</v>
      </c>
      <c r="E22" s="114">
        <v>25</v>
      </c>
      <c r="F22" s="114">
        <f>120+117+115+15</f>
        <v>367</v>
      </c>
      <c r="G22" s="116" t="s">
        <v>143</v>
      </c>
      <c r="H22" s="114">
        <v>33</v>
      </c>
      <c r="I22" s="114">
        <f>789+862+469+614</f>
        <v>2734</v>
      </c>
      <c r="J22" s="114">
        <f>14+19+19+23</f>
        <v>75</v>
      </c>
      <c r="K22" s="114">
        <f>1653+13542+1433+1308</f>
        <v>17936</v>
      </c>
    </row>
    <row r="23" spans="1:11" x14ac:dyDescent="0.25">
      <c r="A23" s="115">
        <v>18</v>
      </c>
      <c r="B23" s="110" t="s">
        <v>21</v>
      </c>
      <c r="C23" s="112"/>
      <c r="D23" s="114" t="s">
        <v>114</v>
      </c>
      <c r="E23" s="114">
        <v>2</v>
      </c>
      <c r="F23" s="114">
        <v>175</v>
      </c>
      <c r="G23" s="114" t="s">
        <v>114</v>
      </c>
      <c r="H23" s="114">
        <f>42+56+60+72</f>
        <v>230</v>
      </c>
      <c r="I23" s="114">
        <f>3823+4376+3868+4725</f>
        <v>16792</v>
      </c>
      <c r="J23" s="114">
        <f>28+23+23+28</f>
        <v>102</v>
      </c>
      <c r="K23" s="114">
        <f>4459+4481+5094+4646</f>
        <v>18680</v>
      </c>
    </row>
    <row r="24" spans="1:11" x14ac:dyDescent="0.25">
      <c r="A24" s="113">
        <v>19</v>
      </c>
      <c r="B24" s="110" t="s">
        <v>22</v>
      </c>
      <c r="C24" s="112"/>
      <c r="D24" s="114" t="s">
        <v>114</v>
      </c>
      <c r="E24" s="114">
        <v>1</v>
      </c>
      <c r="F24" s="114">
        <v>75</v>
      </c>
      <c r="G24" s="114" t="s">
        <v>114</v>
      </c>
      <c r="H24" s="114">
        <f>45+38+35+22</f>
        <v>140</v>
      </c>
      <c r="I24" s="114">
        <f>5619+4555+4552+7400</f>
        <v>22126</v>
      </c>
      <c r="J24" s="114">
        <v>75</v>
      </c>
      <c r="K24" s="114">
        <f>75619+9555+10552+8954</f>
        <v>104680</v>
      </c>
    </row>
    <row r="25" spans="1:11" ht="30" x14ac:dyDescent="0.25">
      <c r="A25" s="115">
        <v>20</v>
      </c>
      <c r="B25" s="110" t="s">
        <v>23</v>
      </c>
      <c r="C25" s="112"/>
      <c r="D25" s="114"/>
      <c r="E25" s="114"/>
      <c r="F25" s="114"/>
      <c r="G25" s="114"/>
      <c r="H25" s="114"/>
      <c r="I25" s="114"/>
      <c r="J25" s="114"/>
      <c r="K25" s="114"/>
    </row>
    <row r="26" spans="1:11" x14ac:dyDescent="0.25">
      <c r="A26" s="113">
        <v>21</v>
      </c>
      <c r="B26" s="110" t="s">
        <v>24</v>
      </c>
      <c r="C26" s="112"/>
      <c r="D26" s="114" t="s">
        <v>114</v>
      </c>
      <c r="E26" s="114">
        <v>1</v>
      </c>
      <c r="F26" s="114">
        <v>36</v>
      </c>
      <c r="G26" s="114" t="s">
        <v>114</v>
      </c>
      <c r="H26" s="114">
        <f>63+88+56+39</f>
        <v>246</v>
      </c>
      <c r="I26" s="114">
        <f>5006+5700+5598+5405</f>
        <v>21709</v>
      </c>
      <c r="J26" s="114">
        <v>73</v>
      </c>
      <c r="K26" s="114">
        <f>9527+9091+5006+8856</f>
        <v>32480</v>
      </c>
    </row>
    <row r="27" spans="1:11" x14ac:dyDescent="0.25">
      <c r="A27" s="115">
        <v>22</v>
      </c>
      <c r="B27" s="110" t="s">
        <v>25</v>
      </c>
      <c r="C27" s="112"/>
      <c r="D27" s="114" t="s">
        <v>114</v>
      </c>
      <c r="E27" s="114">
        <v>2</v>
      </c>
      <c r="F27" s="114">
        <v>41</v>
      </c>
      <c r="G27" s="114" t="s">
        <v>114</v>
      </c>
      <c r="H27" s="114">
        <f>8+22+15+19</f>
        <v>64</v>
      </c>
      <c r="I27" s="114">
        <f>935+1886+2455+1559</f>
        <v>6835</v>
      </c>
      <c r="J27" s="114"/>
      <c r="K27" s="114">
        <f>1846+2822+2361+2683</f>
        <v>9712</v>
      </c>
    </row>
    <row r="28" spans="1:11" ht="60" x14ac:dyDescent="0.25">
      <c r="A28" s="113">
        <v>23</v>
      </c>
      <c r="B28" s="110" t="s">
        <v>26</v>
      </c>
      <c r="C28" s="118" t="s">
        <v>116</v>
      </c>
      <c r="D28" s="114" t="s">
        <v>114</v>
      </c>
      <c r="E28" s="114">
        <v>6</v>
      </c>
      <c r="F28" s="114">
        <v>26</v>
      </c>
      <c r="G28" s="114" t="s">
        <v>114</v>
      </c>
      <c r="H28" s="114">
        <f>42+35+20+40</f>
        <v>137</v>
      </c>
      <c r="I28" s="114">
        <f>3990+3325+1900+3800</f>
        <v>13015</v>
      </c>
      <c r="J28" s="114">
        <f>245+250+235+270</f>
        <v>1000</v>
      </c>
      <c r="K28" s="114">
        <f>I28</f>
        <v>13015</v>
      </c>
    </row>
    <row r="29" spans="1:11" x14ac:dyDescent="0.25">
      <c r="A29" s="115">
        <v>24</v>
      </c>
      <c r="B29" s="110" t="s">
        <v>27</v>
      </c>
      <c r="C29" s="112"/>
      <c r="D29" s="114"/>
      <c r="E29" s="114"/>
      <c r="F29" s="114"/>
      <c r="G29" s="114"/>
      <c r="H29" s="114"/>
      <c r="I29" s="114"/>
      <c r="J29" s="114"/>
      <c r="K29" s="114"/>
    </row>
    <row r="30" spans="1:11" x14ac:dyDescent="0.25">
      <c r="A30" s="113">
        <v>25</v>
      </c>
      <c r="B30" s="110" t="s">
        <v>28</v>
      </c>
      <c r="C30" s="112"/>
      <c r="D30" s="114"/>
      <c r="E30" s="114"/>
      <c r="F30" s="114"/>
      <c r="G30" s="114" t="s">
        <v>114</v>
      </c>
      <c r="H30" s="114"/>
      <c r="I30" s="114"/>
      <c r="J30" s="114"/>
      <c r="K30" s="114">
        <v>28000</v>
      </c>
    </row>
    <row r="31" spans="1:11" ht="30" x14ac:dyDescent="0.25">
      <c r="A31" s="115">
        <v>26</v>
      </c>
      <c r="B31" s="110" t="s">
        <v>29</v>
      </c>
      <c r="C31" s="112"/>
      <c r="D31" s="114" t="s">
        <v>114</v>
      </c>
      <c r="E31" s="114">
        <v>2</v>
      </c>
      <c r="F31" s="114">
        <v>137</v>
      </c>
      <c r="G31" s="114" t="s">
        <v>114</v>
      </c>
      <c r="H31" s="114">
        <v>37</v>
      </c>
      <c r="I31" s="114">
        <f>9544*0.9+1500+1450+1550</f>
        <v>13089.6</v>
      </c>
      <c r="J31" s="114">
        <v>137</v>
      </c>
      <c r="K31" s="114">
        <f>1500+1450+1600+1550</f>
        <v>6100</v>
      </c>
    </row>
    <row r="32" spans="1:11" x14ac:dyDescent="0.25">
      <c r="A32" s="113">
        <v>27</v>
      </c>
      <c r="B32" s="110" t="s">
        <v>30</v>
      </c>
      <c r="C32" s="112"/>
      <c r="D32" s="114" t="s">
        <v>114</v>
      </c>
      <c r="E32" s="114">
        <v>4</v>
      </c>
      <c r="F32" s="114">
        <v>200</v>
      </c>
      <c r="G32" s="114" t="s">
        <v>114</v>
      </c>
      <c r="H32" s="114">
        <v>9</v>
      </c>
      <c r="I32" s="114">
        <v>2400</v>
      </c>
      <c r="J32" s="114">
        <v>1200</v>
      </c>
      <c r="K32" s="114">
        <f>5000+5500+6000+10000</f>
        <v>26500</v>
      </c>
    </row>
    <row r="33" spans="1:11" x14ac:dyDescent="0.25">
      <c r="A33" s="115">
        <v>28</v>
      </c>
      <c r="B33" s="110" t="s">
        <v>31</v>
      </c>
      <c r="C33" s="112"/>
      <c r="D33" s="114" t="s">
        <v>114</v>
      </c>
      <c r="E33" s="114">
        <v>1</v>
      </c>
      <c r="F33" s="114">
        <v>41</v>
      </c>
      <c r="G33" s="114" t="s">
        <v>114</v>
      </c>
      <c r="H33" s="114">
        <v>33</v>
      </c>
      <c r="I33" s="114">
        <f>2650+1702+828+2847</f>
        <v>8027</v>
      </c>
      <c r="J33" s="114">
        <f>560</f>
        <v>560</v>
      </c>
      <c r="K33" s="114">
        <f>9000+9250+9600+9870</f>
        <v>37720</v>
      </c>
    </row>
    <row r="34" spans="1:11" x14ac:dyDescent="0.25">
      <c r="A34" s="113">
        <v>29</v>
      </c>
      <c r="B34" s="110" t="s">
        <v>32</v>
      </c>
      <c r="C34" s="112"/>
      <c r="D34" s="114"/>
      <c r="E34" s="114"/>
      <c r="F34" s="114"/>
      <c r="G34" s="114"/>
      <c r="H34" s="114"/>
      <c r="I34" s="114"/>
      <c r="J34" s="114"/>
      <c r="K34" s="114"/>
    </row>
    <row r="35" spans="1:11" ht="60" x14ac:dyDescent="0.25">
      <c r="A35" s="115">
        <v>30</v>
      </c>
      <c r="B35" s="110" t="s">
        <v>33</v>
      </c>
      <c r="C35" s="60" t="s">
        <v>116</v>
      </c>
      <c r="D35" s="114" t="s">
        <v>114</v>
      </c>
      <c r="E35" s="114">
        <v>1</v>
      </c>
      <c r="F35" s="114">
        <v>62</v>
      </c>
      <c r="G35" s="116" t="s">
        <v>117</v>
      </c>
      <c r="H35" s="114">
        <f>33+29+37+54</f>
        <v>153</v>
      </c>
      <c r="I35" s="114">
        <f>33328+21157+17252+13447</f>
        <v>85184</v>
      </c>
      <c r="J35" s="114">
        <f>190+143+143+208</f>
        <v>684</v>
      </c>
      <c r="K35" s="114">
        <f>41699+31138+25484+25365</f>
        <v>123686</v>
      </c>
    </row>
    <row r="36" spans="1:11" ht="30" x14ac:dyDescent="0.25">
      <c r="A36" s="113">
        <v>31</v>
      </c>
      <c r="B36" s="110" t="s">
        <v>34</v>
      </c>
      <c r="C36" s="112"/>
      <c r="D36" s="114"/>
      <c r="E36" s="114"/>
      <c r="F36" s="114"/>
      <c r="G36" s="114"/>
      <c r="H36" s="114"/>
      <c r="I36" s="114"/>
      <c r="J36" s="114"/>
      <c r="K36" s="114"/>
    </row>
    <row r="37" spans="1:11" ht="30" x14ac:dyDescent="0.25">
      <c r="A37" s="115">
        <v>32</v>
      </c>
      <c r="B37" s="110" t="s">
        <v>35</v>
      </c>
      <c r="C37" s="112"/>
      <c r="D37" s="114"/>
      <c r="E37" s="114"/>
      <c r="F37" s="114"/>
      <c r="G37" s="114"/>
      <c r="H37" s="114"/>
      <c r="I37" s="114"/>
      <c r="J37" s="114"/>
      <c r="K37" s="114">
        <f>3300+20000+70000+20000</f>
        <v>113300</v>
      </c>
    </row>
    <row r="38" spans="1:11" x14ac:dyDescent="0.25">
      <c r="A38" s="113">
        <v>33</v>
      </c>
      <c r="B38" s="110" t="s">
        <v>36</v>
      </c>
      <c r="C38" s="112"/>
      <c r="D38" s="114" t="s">
        <v>126</v>
      </c>
      <c r="E38" s="114">
        <v>1</v>
      </c>
      <c r="F38" s="114">
        <v>51</v>
      </c>
      <c r="G38" s="114" t="s">
        <v>114</v>
      </c>
      <c r="H38" s="114">
        <v>40</v>
      </c>
      <c r="I38" s="114">
        <f>829+888+543+312</f>
        <v>2572</v>
      </c>
      <c r="J38" s="114">
        <v>51</v>
      </c>
      <c r="K38" s="114">
        <f>I38</f>
        <v>2572</v>
      </c>
    </row>
    <row r="39" spans="1:11" x14ac:dyDescent="0.25">
      <c r="A39" s="115">
        <v>34</v>
      </c>
      <c r="B39" s="110" t="s">
        <v>37</v>
      </c>
      <c r="C39" s="112"/>
      <c r="D39" s="114" t="s">
        <v>135</v>
      </c>
      <c r="E39" s="114">
        <v>1</v>
      </c>
      <c r="F39" s="114">
        <v>28</v>
      </c>
      <c r="G39" s="114" t="s">
        <v>114</v>
      </c>
      <c r="H39" s="114">
        <f>4+8+12+12</f>
        <v>36</v>
      </c>
      <c r="I39" s="114">
        <f>950+570+1163+806</f>
        <v>3489</v>
      </c>
      <c r="J39" s="114">
        <v>39</v>
      </c>
      <c r="K39" s="114">
        <f>1333+722+996+1029</f>
        <v>4080</v>
      </c>
    </row>
    <row r="40" spans="1:11" x14ac:dyDescent="0.25">
      <c r="A40" s="113">
        <v>35</v>
      </c>
      <c r="B40" s="110" t="s">
        <v>38</v>
      </c>
      <c r="C40" s="112"/>
      <c r="D40" s="114" t="s">
        <v>114</v>
      </c>
      <c r="E40" s="114"/>
      <c r="F40" s="114"/>
      <c r="G40" s="114"/>
      <c r="H40" s="114"/>
      <c r="I40" s="114"/>
      <c r="J40" s="114"/>
      <c r="K40" s="114"/>
    </row>
    <row r="41" spans="1:11" ht="30" x14ac:dyDescent="0.25">
      <c r="A41" s="115">
        <v>36</v>
      </c>
      <c r="B41" s="110" t="s">
        <v>39</v>
      </c>
      <c r="C41" s="60" t="s">
        <v>144</v>
      </c>
      <c r="D41" s="114" t="s">
        <v>135</v>
      </c>
      <c r="E41" s="114">
        <v>6</v>
      </c>
      <c r="F41" s="114">
        <f>300+150</f>
        <v>450</v>
      </c>
      <c r="G41" s="114" t="s">
        <v>114</v>
      </c>
      <c r="H41" s="114">
        <f>84+42+29+10</f>
        <v>165</v>
      </c>
      <c r="I41" s="114">
        <f>7430+5214+4352+2848</f>
        <v>19844</v>
      </c>
      <c r="J41" s="114">
        <f>7+6+2+2</f>
        <v>17</v>
      </c>
      <c r="K41" s="114">
        <f>7302+11038+10504+10329</f>
        <v>39173</v>
      </c>
    </row>
    <row r="42" spans="1:11" x14ac:dyDescent="0.25">
      <c r="A42" s="113">
        <v>37</v>
      </c>
      <c r="B42" s="110" t="s">
        <v>40</v>
      </c>
      <c r="C42" s="112"/>
      <c r="D42" s="114" t="s">
        <v>114</v>
      </c>
      <c r="E42" s="114">
        <v>22</v>
      </c>
      <c r="F42" s="114">
        <f>53+78+111+118</f>
        <v>360</v>
      </c>
      <c r="G42" s="114" t="s">
        <v>114</v>
      </c>
      <c r="H42" s="114">
        <f>13+14+11+20</f>
        <v>58</v>
      </c>
      <c r="I42" s="114">
        <f>1830+3153+2986+2631</f>
        <v>10600</v>
      </c>
      <c r="J42" s="114">
        <f>53+63+48+68</f>
        <v>232</v>
      </c>
      <c r="K42" s="114">
        <f>2088+2919+960+2373</f>
        <v>8340</v>
      </c>
    </row>
    <row r="43" spans="1:11" x14ac:dyDescent="0.25">
      <c r="A43" s="115">
        <v>38</v>
      </c>
      <c r="B43" s="110" t="s">
        <v>41</v>
      </c>
      <c r="C43" s="112"/>
      <c r="D43" s="114"/>
      <c r="E43" s="114">
        <v>1</v>
      </c>
      <c r="F43" s="114">
        <v>60</v>
      </c>
      <c r="G43" s="114"/>
      <c r="H43" s="114">
        <v>47</v>
      </c>
      <c r="I43" s="114">
        <v>8240</v>
      </c>
      <c r="J43" s="114">
        <v>6000</v>
      </c>
      <c r="K43" s="114">
        <v>217000</v>
      </c>
    </row>
    <row r="44" spans="1:11" x14ac:dyDescent="0.25">
      <c r="A44" s="113">
        <v>39</v>
      </c>
      <c r="B44" s="110" t="s">
        <v>42</v>
      </c>
      <c r="C44" s="112"/>
      <c r="D44" s="114" t="s">
        <v>114</v>
      </c>
      <c r="E44" s="114">
        <v>4</v>
      </c>
      <c r="F44" s="114">
        <f>66*4</f>
        <v>264</v>
      </c>
      <c r="G44" s="114" t="s">
        <v>114</v>
      </c>
      <c r="H44" s="114">
        <f>10+10+9+17</f>
        <v>46</v>
      </c>
      <c r="I44" s="114">
        <f>2097+3185+2459+2896</f>
        <v>10637</v>
      </c>
      <c r="J44" s="114">
        <v>4</v>
      </c>
      <c r="K44" s="114">
        <f>6240+4914+6710+5383</f>
        <v>23247</v>
      </c>
    </row>
    <row r="45" spans="1:11" x14ac:dyDescent="0.25">
      <c r="A45" s="115">
        <v>40</v>
      </c>
      <c r="B45" s="110" t="s">
        <v>43</v>
      </c>
      <c r="C45" s="112"/>
      <c r="D45" s="114"/>
      <c r="E45" s="114"/>
      <c r="F45" s="114"/>
      <c r="G45" s="114"/>
      <c r="H45" s="114">
        <f>22+168</f>
        <v>190</v>
      </c>
      <c r="I45" s="114">
        <f>3300+21000</f>
        <v>24300</v>
      </c>
      <c r="J45" s="114"/>
      <c r="K45" s="114">
        <f>1380+3220+1376</f>
        <v>5976</v>
      </c>
    </row>
    <row r="46" spans="1:11" x14ac:dyDescent="0.25">
      <c r="A46" s="113">
        <v>41</v>
      </c>
      <c r="B46" s="110" t="s">
        <v>44</v>
      </c>
      <c r="C46" s="112"/>
      <c r="D46" s="114" t="s">
        <v>114</v>
      </c>
      <c r="E46" s="114">
        <v>1</v>
      </c>
      <c r="F46" s="114">
        <v>68</v>
      </c>
      <c r="G46" s="114" t="s">
        <v>114</v>
      </c>
      <c r="H46" s="114">
        <f>36</f>
        <v>36</v>
      </c>
      <c r="I46" s="114">
        <v>3686</v>
      </c>
      <c r="J46" s="114">
        <v>6</v>
      </c>
      <c r="K46" s="114">
        <f>I46</f>
        <v>3686</v>
      </c>
    </row>
    <row r="47" spans="1:11" ht="30" x14ac:dyDescent="0.25">
      <c r="A47" s="115">
        <v>42</v>
      </c>
      <c r="B47" s="110" t="s">
        <v>45</v>
      </c>
      <c r="C47" s="112"/>
      <c r="D47" s="114" t="s">
        <v>114</v>
      </c>
      <c r="E47" s="114">
        <v>11</v>
      </c>
      <c r="F47" s="114">
        <v>33</v>
      </c>
      <c r="G47" s="114" t="s">
        <v>133</v>
      </c>
      <c r="H47" s="114">
        <v>12</v>
      </c>
      <c r="I47" s="114">
        <f>370+722+510</f>
        <v>1602</v>
      </c>
      <c r="J47" s="114">
        <f>33</f>
        <v>33</v>
      </c>
      <c r="K47" s="114">
        <f>300+100+800+560</f>
        <v>1760</v>
      </c>
    </row>
    <row r="48" spans="1:11" ht="30" x14ac:dyDescent="0.25">
      <c r="A48" s="113">
        <v>43</v>
      </c>
      <c r="B48" s="110" t="s">
        <v>46</v>
      </c>
      <c r="C48" s="60" t="s">
        <v>139</v>
      </c>
      <c r="D48" s="114"/>
      <c r="E48" s="114"/>
      <c r="F48" s="114"/>
      <c r="G48" s="114"/>
      <c r="H48" s="114"/>
      <c r="I48" s="114"/>
      <c r="J48" s="114"/>
      <c r="K48" s="114">
        <f>3493+3000+4064</f>
        <v>10557</v>
      </c>
    </row>
    <row r="49" spans="1:11" x14ac:dyDescent="0.25">
      <c r="A49" s="115">
        <v>44</v>
      </c>
      <c r="B49" s="110" t="s">
        <v>47</v>
      </c>
      <c r="C49" s="112"/>
      <c r="D49" s="114"/>
      <c r="E49" s="114"/>
      <c r="F49" s="114"/>
      <c r="G49" s="114"/>
      <c r="H49" s="114"/>
      <c r="I49" s="114"/>
      <c r="J49" s="114"/>
      <c r="K49" s="114">
        <v>464</v>
      </c>
    </row>
    <row r="50" spans="1:11" ht="30" x14ac:dyDescent="0.25">
      <c r="A50" s="113">
        <v>45</v>
      </c>
      <c r="B50" s="110" t="s">
        <v>48</v>
      </c>
      <c r="C50" s="112"/>
      <c r="D50" s="114"/>
      <c r="E50" s="114"/>
      <c r="F50" s="114"/>
      <c r="G50" s="114" t="s">
        <v>114</v>
      </c>
      <c r="H50" s="114">
        <f>16+15+18+27</f>
        <v>76</v>
      </c>
      <c r="I50" s="114">
        <f>2526+1982+2413+3378</f>
        <v>10299</v>
      </c>
      <c r="J50" s="114">
        <f>43+49+49+43</f>
        <v>184</v>
      </c>
      <c r="K50" s="114">
        <f>5630+5630+5244+1989</f>
        <v>18493</v>
      </c>
    </row>
    <row r="51" spans="1:11" ht="30" x14ac:dyDescent="0.25">
      <c r="A51" s="115">
        <v>46</v>
      </c>
      <c r="B51" s="59" t="s">
        <v>49</v>
      </c>
      <c r="C51" s="112"/>
      <c r="D51" s="114" t="s">
        <v>114</v>
      </c>
      <c r="E51" s="114">
        <v>1</v>
      </c>
      <c r="F51" s="114">
        <v>115</v>
      </c>
      <c r="G51" s="114" t="s">
        <v>114</v>
      </c>
      <c r="H51" s="114">
        <f>69+78+144+152</f>
        <v>443</v>
      </c>
      <c r="I51" s="114">
        <f>5448+5307+4320+6536</f>
        <v>21611</v>
      </c>
      <c r="J51" s="114">
        <v>1</v>
      </c>
      <c r="K51" s="114">
        <v>1</v>
      </c>
    </row>
    <row r="52" spans="1:11" ht="30" x14ac:dyDescent="0.25">
      <c r="A52" s="113">
        <v>47</v>
      </c>
      <c r="B52" s="110" t="s">
        <v>50</v>
      </c>
      <c r="C52" s="112"/>
      <c r="D52" s="114" t="s">
        <v>114</v>
      </c>
      <c r="E52" s="114">
        <v>1</v>
      </c>
      <c r="F52" s="114">
        <v>26</v>
      </c>
      <c r="G52" s="114" t="s">
        <v>114</v>
      </c>
      <c r="H52" s="114">
        <v>34</v>
      </c>
      <c r="I52" s="114">
        <f>600+350+500+900</f>
        <v>2350</v>
      </c>
      <c r="J52" s="114">
        <v>102</v>
      </c>
      <c r="K52" s="114">
        <f>22+36+41+48</f>
        <v>147</v>
      </c>
    </row>
    <row r="53" spans="1:11" ht="30" x14ac:dyDescent="0.25">
      <c r="A53" s="115">
        <v>48</v>
      </c>
      <c r="B53" s="110" t="s">
        <v>51</v>
      </c>
      <c r="C53" s="112"/>
      <c r="D53" s="114" t="s">
        <v>114</v>
      </c>
      <c r="E53" s="114">
        <v>1</v>
      </c>
      <c r="F53" s="114">
        <v>70</v>
      </c>
      <c r="G53" s="114" t="s">
        <v>114</v>
      </c>
      <c r="H53" s="114">
        <v>12</v>
      </c>
      <c r="I53" s="114">
        <f>645+675+650+570</f>
        <v>2540</v>
      </c>
      <c r="J53" s="114">
        <v>70</v>
      </c>
      <c r="K53" s="114">
        <f>36000+39116+42671+31890</f>
        <v>149677</v>
      </c>
    </row>
    <row r="54" spans="1:11" x14ac:dyDescent="0.25">
      <c r="A54" s="113">
        <v>49</v>
      </c>
      <c r="B54" s="110" t="s">
        <v>52</v>
      </c>
      <c r="C54" s="112"/>
      <c r="D54" s="114"/>
      <c r="E54" s="114">
        <v>0</v>
      </c>
      <c r="F54" s="114">
        <v>0</v>
      </c>
      <c r="G54" s="114" t="s">
        <v>114</v>
      </c>
      <c r="H54" s="114">
        <f>25+38+32+45</f>
        <v>140</v>
      </c>
      <c r="I54" s="114">
        <f>2329+1942+1525+1782</f>
        <v>7578</v>
      </c>
      <c r="J54" s="114">
        <v>0</v>
      </c>
      <c r="K54" s="114">
        <f>I54</f>
        <v>7578</v>
      </c>
    </row>
    <row r="55" spans="1:11" ht="30" x14ac:dyDescent="0.25">
      <c r="A55" s="115">
        <v>50</v>
      </c>
      <c r="B55" s="110" t="s">
        <v>53</v>
      </c>
      <c r="C55" s="60" t="s">
        <v>128</v>
      </c>
      <c r="D55" s="114" t="s">
        <v>114</v>
      </c>
      <c r="E55" s="114">
        <v>1</v>
      </c>
      <c r="F55" s="114">
        <v>41</v>
      </c>
      <c r="G55" s="114" t="s">
        <v>114</v>
      </c>
      <c r="H55" s="114">
        <f>60+52+46+56</f>
        <v>214</v>
      </c>
      <c r="I55" s="114">
        <f>8267+6480+6330+7491</f>
        <v>28568</v>
      </c>
      <c r="J55" s="114">
        <v>46</v>
      </c>
      <c r="K55" s="114">
        <f>7818+2850+3000+6336</f>
        <v>20004</v>
      </c>
    </row>
    <row r="56" spans="1:11" x14ac:dyDescent="0.25">
      <c r="A56" s="113">
        <v>51</v>
      </c>
      <c r="B56" s="110" t="s">
        <v>54</v>
      </c>
      <c r="C56" s="112"/>
      <c r="D56" s="114"/>
      <c r="E56" s="114"/>
      <c r="F56" s="114"/>
      <c r="G56" s="114"/>
      <c r="H56" s="114"/>
      <c r="I56" s="114"/>
      <c r="J56" s="114"/>
      <c r="K56" s="114"/>
    </row>
    <row r="57" spans="1:11" ht="75" x14ac:dyDescent="0.25">
      <c r="A57" s="115">
        <v>52</v>
      </c>
      <c r="B57" s="110" t="s">
        <v>55</v>
      </c>
      <c r="C57" s="112"/>
      <c r="D57" s="114" t="s">
        <v>114</v>
      </c>
      <c r="E57" s="114">
        <f>5+4+4+6</f>
        <v>19</v>
      </c>
      <c r="F57" s="114">
        <f>35+18+20+33</f>
        <v>106</v>
      </c>
      <c r="G57" s="119" t="s">
        <v>125</v>
      </c>
      <c r="H57" s="117">
        <f>15+9+22+14+1+15+2</f>
        <v>78</v>
      </c>
      <c r="I57" s="114">
        <f>2074+1790+1745+2444+453+180+45+599</f>
        <v>9330</v>
      </c>
      <c r="J57" s="114">
        <v>37</v>
      </c>
      <c r="K57" s="114">
        <f>1774+1733+1471+1522</f>
        <v>6500</v>
      </c>
    </row>
    <row r="58" spans="1:11" x14ac:dyDescent="0.25">
      <c r="A58" s="113">
        <v>53</v>
      </c>
      <c r="B58" s="110" t="s">
        <v>56</v>
      </c>
      <c r="C58" s="112"/>
      <c r="D58" s="114"/>
      <c r="E58" s="114"/>
      <c r="F58" s="114"/>
      <c r="G58" s="114"/>
      <c r="H58" s="114"/>
      <c r="I58" s="114"/>
      <c r="J58" s="114"/>
      <c r="K58" s="114"/>
    </row>
    <row r="59" spans="1:11" ht="30" x14ac:dyDescent="0.25">
      <c r="A59" s="115">
        <v>54</v>
      </c>
      <c r="B59" s="110" t="s">
        <v>57</v>
      </c>
      <c r="C59" s="112"/>
      <c r="D59" s="114" t="s">
        <v>114</v>
      </c>
      <c r="E59" s="114"/>
      <c r="F59" s="114">
        <v>48</v>
      </c>
      <c r="G59" s="114" t="s">
        <v>114</v>
      </c>
      <c r="H59" s="114">
        <v>36</v>
      </c>
      <c r="I59" s="114">
        <v>8000</v>
      </c>
      <c r="J59" s="114"/>
      <c r="K59" s="114"/>
    </row>
    <row r="60" spans="1:11" ht="30" x14ac:dyDescent="0.25">
      <c r="A60" s="113">
        <v>55</v>
      </c>
      <c r="B60" s="110" t="s">
        <v>58</v>
      </c>
      <c r="C60" s="112"/>
      <c r="D60" s="114" t="s">
        <v>114</v>
      </c>
      <c r="E60" s="114">
        <v>12</v>
      </c>
      <c r="F60" s="114">
        <v>600</v>
      </c>
      <c r="G60" s="114" t="s">
        <v>114</v>
      </c>
      <c r="H60" s="114">
        <v>24</v>
      </c>
      <c r="I60" s="114">
        <v>5400</v>
      </c>
      <c r="J60" s="114">
        <v>600</v>
      </c>
      <c r="K60" s="114">
        <f>3000+2400</f>
        <v>5400</v>
      </c>
    </row>
    <row r="61" spans="1:11" ht="30" x14ac:dyDescent="0.25">
      <c r="A61" s="115">
        <v>56</v>
      </c>
      <c r="B61" s="110" t="s">
        <v>59</v>
      </c>
      <c r="C61" s="112"/>
      <c r="D61" s="114"/>
      <c r="E61" s="114"/>
      <c r="F61" s="114"/>
      <c r="G61" s="114"/>
      <c r="H61" s="114"/>
      <c r="I61" s="114"/>
      <c r="J61" s="114"/>
      <c r="K61" s="114"/>
    </row>
    <row r="62" spans="1:11" ht="150" x14ac:dyDescent="0.25">
      <c r="A62" s="113">
        <v>57</v>
      </c>
      <c r="B62" s="110" t="s">
        <v>60</v>
      </c>
      <c r="C62" s="60" t="s">
        <v>136</v>
      </c>
      <c r="D62" s="114"/>
      <c r="E62" s="114">
        <v>0</v>
      </c>
      <c r="F62" s="114">
        <v>0</v>
      </c>
      <c r="G62" s="114" t="s">
        <v>114</v>
      </c>
      <c r="H62" s="114">
        <v>33</v>
      </c>
      <c r="I62" s="114">
        <f>6843+6748+6887</f>
        <v>20478</v>
      </c>
      <c r="J62" s="114"/>
      <c r="K62" s="114">
        <f>297123+1237</f>
        <v>298360</v>
      </c>
    </row>
    <row r="63" spans="1:11" ht="30" x14ac:dyDescent="0.25">
      <c r="A63" s="115">
        <v>58</v>
      </c>
      <c r="B63" s="59" t="s">
        <v>61</v>
      </c>
      <c r="C63" s="112"/>
      <c r="D63" s="114" t="s">
        <v>114</v>
      </c>
      <c r="E63" s="114">
        <f>5+8+12+12</f>
        <v>37</v>
      </c>
      <c r="F63" s="114">
        <f>61+80+19+45</f>
        <v>205</v>
      </c>
      <c r="G63" s="114" t="s">
        <v>114</v>
      </c>
      <c r="H63" s="114">
        <f>153+134+101+160</f>
        <v>548</v>
      </c>
      <c r="I63" s="114">
        <f>9185+12699+14732+12349</f>
        <v>48965</v>
      </c>
      <c r="J63" s="114">
        <f>10053+15123+70828+140119</f>
        <v>236123</v>
      </c>
      <c r="K63" s="114">
        <f>306285+223771+134544+66200</f>
        <v>730800</v>
      </c>
    </row>
    <row r="64" spans="1:11" x14ac:dyDescent="0.25">
      <c r="A64" s="113">
        <v>59</v>
      </c>
      <c r="B64" s="110" t="s">
        <v>62</v>
      </c>
      <c r="C64" s="112"/>
      <c r="D64" s="114" t="s">
        <v>114</v>
      </c>
      <c r="E64" s="114">
        <v>2</v>
      </c>
      <c r="F64" s="114">
        <v>134</v>
      </c>
      <c r="G64" s="114" t="s">
        <v>114</v>
      </c>
      <c r="H64" s="114">
        <f>58+50+42+45</f>
        <v>195</v>
      </c>
      <c r="I64" s="114">
        <f>6133+5564+4954+5388</f>
        <v>22039</v>
      </c>
      <c r="J64" s="114">
        <f>72*3</f>
        <v>216</v>
      </c>
      <c r="K64" s="114">
        <f>5942+2600+1600+3785</f>
        <v>13927</v>
      </c>
    </row>
    <row r="65" spans="1:11" ht="30" x14ac:dyDescent="0.25">
      <c r="A65" s="115">
        <v>60</v>
      </c>
      <c r="B65" s="110" t="s">
        <v>63</v>
      </c>
      <c r="C65" s="112"/>
      <c r="D65" s="114" t="s">
        <v>114</v>
      </c>
      <c r="E65" s="114">
        <v>4</v>
      </c>
      <c r="F65" s="114">
        <v>24</v>
      </c>
      <c r="G65" s="114" t="s">
        <v>114</v>
      </c>
      <c r="H65" s="114">
        <v>349</v>
      </c>
      <c r="I65" s="114">
        <v>26623</v>
      </c>
      <c r="J65" s="114">
        <v>88</v>
      </c>
      <c r="K65" s="114">
        <v>19653</v>
      </c>
    </row>
    <row r="66" spans="1:11" ht="37.5" customHeight="1" x14ac:dyDescent="0.25">
      <c r="A66" s="113">
        <v>61</v>
      </c>
      <c r="B66" s="110" t="s">
        <v>64</v>
      </c>
      <c r="C66" s="118" t="s">
        <v>134</v>
      </c>
      <c r="D66" s="114"/>
      <c r="E66" s="114"/>
      <c r="F66" s="114"/>
      <c r="G66" s="114" t="s">
        <v>114</v>
      </c>
      <c r="H66" s="114">
        <v>11</v>
      </c>
      <c r="I66" s="114">
        <f>604+85+1278</f>
        <v>1967</v>
      </c>
      <c r="J66" s="114">
        <v>50</v>
      </c>
      <c r="K66" s="114">
        <f>1825+3653</f>
        <v>5478</v>
      </c>
    </row>
    <row r="67" spans="1:11" x14ac:dyDescent="0.25">
      <c r="A67" s="115">
        <v>62</v>
      </c>
      <c r="B67" s="110" t="s">
        <v>65</v>
      </c>
      <c r="C67" s="112" t="s">
        <v>123</v>
      </c>
      <c r="D67" s="114" t="s">
        <v>114</v>
      </c>
      <c r="E67" s="114">
        <v>9</v>
      </c>
      <c r="F67" s="114">
        <v>32</v>
      </c>
      <c r="G67" s="114" t="s">
        <v>114</v>
      </c>
      <c r="H67" s="114">
        <f>19+28+42+24</f>
        <v>113</v>
      </c>
      <c r="I67" s="114">
        <f>2965+8076+4200+3068</f>
        <v>18309</v>
      </c>
      <c r="J67" s="114">
        <f>1200*3+4100</f>
        <v>7700</v>
      </c>
      <c r="K67" s="114">
        <f>5260+2200+2300+1500</f>
        <v>11260</v>
      </c>
    </row>
    <row r="68" spans="1:11" ht="132.75" customHeight="1" x14ac:dyDescent="0.25">
      <c r="A68" s="113">
        <v>63</v>
      </c>
      <c r="B68" s="110" t="s">
        <v>66</v>
      </c>
      <c r="C68" s="69" t="s">
        <v>129</v>
      </c>
      <c r="D68" s="114" t="s">
        <v>133</v>
      </c>
      <c r="E68" s="114"/>
      <c r="F68" s="114">
        <f>21+29+30+30</f>
        <v>110</v>
      </c>
      <c r="G68" s="114" t="s">
        <v>114</v>
      </c>
      <c r="H68" s="112"/>
      <c r="I68" s="114">
        <f>200+291+172+5561</f>
        <v>6224</v>
      </c>
      <c r="J68" s="114">
        <f>21+29+35+35+32</f>
        <v>152</v>
      </c>
      <c r="K68" s="114">
        <f>200+110+172+5132</f>
        <v>5614</v>
      </c>
    </row>
  </sheetData>
  <mergeCells count="7">
    <mergeCell ref="A4:A5"/>
    <mergeCell ref="B2:J2"/>
    <mergeCell ref="B4:B5"/>
    <mergeCell ref="C4:C5"/>
    <mergeCell ref="D4:F4"/>
    <mergeCell ref="G4:I4"/>
    <mergeCell ref="J4:K4"/>
  </mergeCells>
  <pageMargins left="0.7" right="0.7" top="0.75" bottom="0.75" header="0.3" footer="0.3"/>
  <pageSetup orientation="landscape" r:id="rId1"/>
  <headerFooter differentFirst="1">
    <oddHeader>&amp;C&amp;P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70"/>
  <sheetViews>
    <sheetView view="pageLayout" topLeftCell="A49" zoomScaleNormal="100" workbookViewId="0">
      <selection activeCell="N62" sqref="N62"/>
    </sheetView>
  </sheetViews>
  <sheetFormatPr defaultRowHeight="15" x14ac:dyDescent="0.25"/>
  <cols>
    <col min="1" max="1" width="4.85546875" customWidth="1"/>
    <col min="2" max="2" width="15.85546875" customWidth="1"/>
    <col min="3" max="3" width="14.28515625" customWidth="1"/>
    <col min="4" max="4" width="15.140625" customWidth="1"/>
    <col min="5" max="5" width="14.85546875" customWidth="1"/>
    <col min="6" max="6" width="13.42578125" customWidth="1"/>
    <col min="7" max="7" width="10.42578125" customWidth="1"/>
    <col min="8" max="8" width="11.42578125" customWidth="1"/>
    <col min="9" max="10" width="11" customWidth="1"/>
    <col min="12" max="12" width="14.85546875" bestFit="1" customWidth="1"/>
  </cols>
  <sheetData>
    <row r="2" spans="1:10" x14ac:dyDescent="0.25">
      <c r="B2" s="179" t="s">
        <v>99</v>
      </c>
      <c r="C2" s="179"/>
      <c r="D2" s="179"/>
    </row>
    <row r="3" spans="1:10" x14ac:dyDescent="0.25">
      <c r="H3" s="169" t="s">
        <v>119</v>
      </c>
      <c r="I3" s="169"/>
      <c r="J3" s="169"/>
    </row>
    <row r="4" spans="1:10" x14ac:dyDescent="0.25">
      <c r="A4" s="180" t="s">
        <v>103</v>
      </c>
      <c r="B4" s="129" t="s">
        <v>1</v>
      </c>
      <c r="C4" s="153" t="s">
        <v>100</v>
      </c>
      <c r="D4" s="153"/>
      <c r="E4" s="153"/>
      <c r="F4" s="153"/>
      <c r="G4" s="153"/>
      <c r="H4" s="153"/>
      <c r="I4" s="153"/>
      <c r="J4" s="153"/>
    </row>
    <row r="5" spans="1:10" x14ac:dyDescent="0.25">
      <c r="A5" s="180"/>
      <c r="B5" s="130"/>
      <c r="C5" s="173" t="s">
        <v>101</v>
      </c>
      <c r="D5" s="174"/>
      <c r="E5" s="174"/>
      <c r="F5" s="175"/>
      <c r="G5" s="180" t="s">
        <v>102</v>
      </c>
      <c r="H5" s="180"/>
      <c r="I5" s="180"/>
      <c r="J5" s="180"/>
    </row>
    <row r="6" spans="1:10" x14ac:dyDescent="0.25">
      <c r="A6" s="42"/>
      <c r="B6" s="45"/>
      <c r="C6" s="41" t="s">
        <v>104</v>
      </c>
      <c r="D6" s="41" t="s">
        <v>105</v>
      </c>
      <c r="E6" s="41" t="s">
        <v>106</v>
      </c>
      <c r="F6" s="41" t="s">
        <v>107</v>
      </c>
      <c r="G6" s="41" t="s">
        <v>104</v>
      </c>
      <c r="H6" s="41" t="s">
        <v>105</v>
      </c>
      <c r="I6" s="41" t="s">
        <v>106</v>
      </c>
      <c r="J6" s="41" t="s">
        <v>107</v>
      </c>
    </row>
    <row r="7" spans="1:10" x14ac:dyDescent="0.25">
      <c r="A7" s="41">
        <v>1</v>
      </c>
      <c r="B7" s="24" t="s">
        <v>5</v>
      </c>
      <c r="C7" s="51">
        <v>836710000</v>
      </c>
      <c r="D7" s="57">
        <v>1137557000</v>
      </c>
      <c r="E7" s="51">
        <v>923891000</v>
      </c>
      <c r="F7" s="51">
        <v>921120000</v>
      </c>
      <c r="G7" s="51"/>
      <c r="H7" s="51"/>
      <c r="I7" s="51"/>
      <c r="J7" s="51"/>
    </row>
    <row r="8" spans="1:10" ht="30" x14ac:dyDescent="0.25">
      <c r="A8" s="41">
        <v>2</v>
      </c>
      <c r="B8" s="24" t="s">
        <v>6</v>
      </c>
      <c r="C8" s="176" t="s">
        <v>142</v>
      </c>
      <c r="D8" s="177"/>
      <c r="E8" s="177"/>
      <c r="F8" s="178"/>
      <c r="G8" s="51"/>
      <c r="H8" s="51"/>
      <c r="I8" s="51"/>
      <c r="J8" s="51"/>
    </row>
    <row r="9" spans="1:10" x14ac:dyDescent="0.25">
      <c r="A9" s="41">
        <v>3</v>
      </c>
      <c r="B9" s="24" t="s">
        <v>7</v>
      </c>
      <c r="C9" s="51">
        <v>3135000000</v>
      </c>
      <c r="D9" s="51">
        <v>2910000000</v>
      </c>
      <c r="E9" s="51">
        <f>3065000000</f>
        <v>3065000000</v>
      </c>
      <c r="F9" s="51">
        <v>4540000000</v>
      </c>
      <c r="G9" s="51"/>
      <c r="H9" s="51"/>
      <c r="I9" s="51"/>
      <c r="J9" s="51"/>
    </row>
    <row r="10" spans="1:10" x14ac:dyDescent="0.25">
      <c r="A10" s="41">
        <v>4</v>
      </c>
      <c r="B10" s="24" t="s">
        <v>8</v>
      </c>
      <c r="C10" s="51"/>
      <c r="D10" s="51">
        <v>43000000</v>
      </c>
      <c r="E10" s="51">
        <f>D10</f>
        <v>43000000</v>
      </c>
      <c r="F10" s="51">
        <f>E10</f>
        <v>43000000</v>
      </c>
      <c r="G10" s="51"/>
      <c r="H10" s="51"/>
      <c r="I10" s="51"/>
      <c r="J10" s="51"/>
    </row>
    <row r="11" spans="1:10" x14ac:dyDescent="0.25">
      <c r="A11" s="41">
        <v>5</v>
      </c>
      <c r="B11" s="59" t="s">
        <v>9</v>
      </c>
      <c r="C11" s="51">
        <v>272500000</v>
      </c>
      <c r="D11" s="51">
        <v>530650000</v>
      </c>
      <c r="E11" s="51">
        <v>548420000</v>
      </c>
      <c r="F11" s="51">
        <v>554490000</v>
      </c>
      <c r="G11" s="51">
        <v>1400000</v>
      </c>
      <c r="H11" s="51">
        <v>2300000</v>
      </c>
      <c r="I11" s="51">
        <v>2700000</v>
      </c>
      <c r="J11" s="51">
        <v>2400000</v>
      </c>
    </row>
    <row r="12" spans="1:10" x14ac:dyDescent="0.25">
      <c r="A12" s="41">
        <v>6</v>
      </c>
      <c r="B12" s="24" t="s">
        <v>10</v>
      </c>
      <c r="C12" s="51">
        <v>210600000</v>
      </c>
      <c r="D12" s="51">
        <v>510866000</v>
      </c>
      <c r="E12" s="51">
        <v>335398000</v>
      </c>
      <c r="F12" s="51">
        <v>381900000</v>
      </c>
      <c r="G12" s="51"/>
      <c r="H12" s="51"/>
      <c r="I12" s="51"/>
      <c r="J12" s="51"/>
    </row>
    <row r="13" spans="1:10" x14ac:dyDescent="0.25">
      <c r="A13" s="41">
        <v>7</v>
      </c>
      <c r="B13" s="24" t="s">
        <v>11</v>
      </c>
      <c r="C13" s="51">
        <v>387992000</v>
      </c>
      <c r="D13" s="51">
        <f>470881900</f>
        <v>470881900</v>
      </c>
      <c r="E13" s="51">
        <v>426460000</v>
      </c>
      <c r="F13" s="51">
        <v>202800000</v>
      </c>
      <c r="G13" s="51"/>
      <c r="H13" s="51"/>
      <c r="I13" s="51"/>
      <c r="J13" s="51"/>
    </row>
    <row r="14" spans="1:10" x14ac:dyDescent="0.25">
      <c r="A14" s="41">
        <v>8</v>
      </c>
      <c r="B14" s="24" t="s">
        <v>12</v>
      </c>
      <c r="C14" s="51">
        <v>230000000</v>
      </c>
      <c r="D14" s="51">
        <v>200000000</v>
      </c>
      <c r="E14" s="51">
        <f>250000000</f>
        <v>250000000</v>
      </c>
      <c r="F14" s="51">
        <f>E14</f>
        <v>250000000</v>
      </c>
      <c r="G14" s="51"/>
      <c r="H14" s="51"/>
      <c r="I14" s="51"/>
      <c r="J14" s="51"/>
    </row>
    <row r="15" spans="1:10" x14ac:dyDescent="0.25">
      <c r="A15" s="41">
        <v>9</v>
      </c>
      <c r="B15" s="59" t="s">
        <v>13</v>
      </c>
      <c r="C15" s="176">
        <v>2979743000</v>
      </c>
      <c r="D15" s="177"/>
      <c r="E15" s="177"/>
      <c r="F15" s="178"/>
      <c r="G15" s="51"/>
      <c r="H15" s="51"/>
      <c r="I15" s="51"/>
      <c r="J15" s="51"/>
    </row>
    <row r="16" spans="1:10" x14ac:dyDescent="0.25">
      <c r="A16" s="41">
        <v>10</v>
      </c>
      <c r="B16" s="59" t="s">
        <v>130</v>
      </c>
      <c r="C16" s="51">
        <v>450210000</v>
      </c>
      <c r="D16" s="51">
        <v>395980000</v>
      </c>
      <c r="E16" s="51">
        <v>392670000</v>
      </c>
      <c r="F16" s="51">
        <v>461340000</v>
      </c>
      <c r="G16" s="58"/>
      <c r="H16" s="58"/>
      <c r="I16" s="51"/>
      <c r="J16" s="51"/>
    </row>
    <row r="17" spans="1:10" x14ac:dyDescent="0.25">
      <c r="A17" s="41">
        <v>11</v>
      </c>
      <c r="B17" s="59" t="s">
        <v>14</v>
      </c>
      <c r="C17" s="176">
        <f>1375842000+1039052000</f>
        <v>2414894000</v>
      </c>
      <c r="D17" s="177"/>
      <c r="E17" s="177"/>
      <c r="F17" s="178"/>
      <c r="G17" s="51"/>
      <c r="H17" s="51"/>
      <c r="I17" s="51"/>
      <c r="J17" s="51"/>
    </row>
    <row r="18" spans="1:10" x14ac:dyDescent="0.25">
      <c r="A18" s="41">
        <v>12</v>
      </c>
      <c r="B18" s="24" t="s">
        <v>15</v>
      </c>
      <c r="C18" s="51">
        <v>938250000</v>
      </c>
      <c r="D18" s="51">
        <v>943400000</v>
      </c>
      <c r="E18" s="51">
        <v>920750000</v>
      </c>
      <c r="F18" s="51">
        <v>858652000</v>
      </c>
      <c r="G18" s="51">
        <v>13000000</v>
      </c>
      <c r="H18" s="51">
        <v>8000000</v>
      </c>
      <c r="I18" s="51"/>
      <c r="J18" s="51"/>
    </row>
    <row r="19" spans="1:10" x14ac:dyDescent="0.25">
      <c r="A19" s="41">
        <v>13</v>
      </c>
      <c r="B19" s="24" t="s">
        <v>16</v>
      </c>
      <c r="C19" s="51"/>
      <c r="D19" s="51"/>
      <c r="E19" s="51"/>
      <c r="F19" s="51"/>
      <c r="G19" s="51"/>
      <c r="H19" s="51"/>
      <c r="I19" s="51"/>
      <c r="J19" s="51"/>
    </row>
    <row r="20" spans="1:10" x14ac:dyDescent="0.25">
      <c r="A20" s="41">
        <v>14</v>
      </c>
      <c r="B20" s="24" t="s">
        <v>17</v>
      </c>
      <c r="C20" s="51">
        <v>0</v>
      </c>
      <c r="D20" s="51">
        <v>0</v>
      </c>
      <c r="E20" s="51">
        <v>0</v>
      </c>
      <c r="F20" s="51">
        <v>0</v>
      </c>
      <c r="G20" s="51"/>
      <c r="H20" s="51"/>
      <c r="I20" s="51"/>
      <c r="J20" s="51"/>
    </row>
    <row r="21" spans="1:10" x14ac:dyDescent="0.25">
      <c r="A21" s="41">
        <v>15</v>
      </c>
      <c r="B21" s="24" t="s">
        <v>18</v>
      </c>
      <c r="C21" s="51">
        <v>321000000</v>
      </c>
      <c r="D21" s="51">
        <v>314000000</v>
      </c>
      <c r="E21" s="51">
        <v>314000000</v>
      </c>
      <c r="F21" s="51">
        <v>304000000</v>
      </c>
      <c r="G21" s="51">
        <v>5000000</v>
      </c>
      <c r="H21" s="51"/>
      <c r="I21" s="51"/>
      <c r="J21" s="51">
        <v>60000000</v>
      </c>
    </row>
    <row r="22" spans="1:10" x14ac:dyDescent="0.25">
      <c r="A22" s="41">
        <v>16</v>
      </c>
      <c r="B22" s="24" t="s">
        <v>19</v>
      </c>
      <c r="C22" s="51">
        <v>60000000</v>
      </c>
      <c r="D22" s="51">
        <v>55000000</v>
      </c>
      <c r="E22" s="51">
        <v>55000000</v>
      </c>
      <c r="F22" s="51">
        <v>80000000</v>
      </c>
      <c r="G22" s="51"/>
      <c r="H22" s="51"/>
      <c r="I22" s="51"/>
      <c r="J22" s="51"/>
    </row>
    <row r="23" spans="1:10" x14ac:dyDescent="0.25">
      <c r="A23" s="41">
        <v>17</v>
      </c>
      <c r="B23" s="24" t="s">
        <v>20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25">
      <c r="A24" s="41">
        <v>18</v>
      </c>
      <c r="B24" s="24" t="s">
        <v>21</v>
      </c>
      <c r="C24" s="51">
        <v>294028000</v>
      </c>
      <c r="D24" s="51">
        <v>433300000</v>
      </c>
      <c r="E24" s="51">
        <v>473853000</v>
      </c>
      <c r="F24" s="51">
        <v>430300000</v>
      </c>
      <c r="G24" s="51"/>
      <c r="H24" s="51"/>
      <c r="I24" s="51"/>
      <c r="J24" s="51"/>
    </row>
    <row r="25" spans="1:10" x14ac:dyDescent="0.25">
      <c r="A25" s="41">
        <v>19</v>
      </c>
      <c r="B25" s="24" t="s">
        <v>22</v>
      </c>
      <c r="C25" s="51">
        <v>969000000</v>
      </c>
      <c r="D25" s="51">
        <v>987500000</v>
      </c>
      <c r="E25" s="51">
        <v>1150000000</v>
      </c>
      <c r="F25" s="51">
        <v>1251600000</v>
      </c>
      <c r="G25" s="51"/>
      <c r="H25" s="51"/>
      <c r="I25" s="51"/>
      <c r="J25" s="51"/>
    </row>
    <row r="26" spans="1:10" x14ac:dyDescent="0.25">
      <c r="A26" s="41">
        <v>20</v>
      </c>
      <c r="B26" s="24" t="s">
        <v>23</v>
      </c>
      <c r="C26" s="51"/>
      <c r="D26" s="51"/>
      <c r="E26" s="51"/>
      <c r="F26" s="51"/>
      <c r="G26" s="51"/>
      <c r="H26" s="51"/>
      <c r="I26" s="51"/>
      <c r="J26" s="51"/>
    </row>
    <row r="27" spans="1:10" x14ac:dyDescent="0.25">
      <c r="A27" s="41">
        <v>21</v>
      </c>
      <c r="B27" s="24" t="s">
        <v>24</v>
      </c>
      <c r="C27" s="51">
        <v>0</v>
      </c>
      <c r="D27" s="51">
        <v>370960000</v>
      </c>
      <c r="E27" s="51">
        <f>461600000</f>
        <v>461600000</v>
      </c>
      <c r="F27" s="51">
        <v>330800000</v>
      </c>
      <c r="G27" s="51"/>
      <c r="H27" s="51"/>
      <c r="I27" s="51"/>
      <c r="J27" s="51"/>
    </row>
    <row r="28" spans="1:10" x14ac:dyDescent="0.25">
      <c r="A28" s="41">
        <v>22</v>
      </c>
      <c r="B28" s="24" t="s">
        <v>25</v>
      </c>
      <c r="C28" s="51">
        <v>485000000</v>
      </c>
      <c r="D28" s="51">
        <v>525000000</v>
      </c>
      <c r="E28" s="51">
        <v>601500000</v>
      </c>
      <c r="F28" s="51">
        <v>475000000</v>
      </c>
      <c r="G28" s="51"/>
      <c r="H28" s="51"/>
      <c r="I28" s="51"/>
      <c r="J28" s="51"/>
    </row>
    <row r="29" spans="1:10" x14ac:dyDescent="0.25">
      <c r="A29" s="41">
        <v>23</v>
      </c>
      <c r="B29" s="24" t="s">
        <v>26</v>
      </c>
      <c r="C29" s="51"/>
      <c r="D29" s="51"/>
      <c r="E29" s="51"/>
      <c r="F29" s="51"/>
      <c r="G29" s="51"/>
      <c r="H29" s="51"/>
      <c r="I29" s="51"/>
      <c r="J29" s="51"/>
    </row>
    <row r="30" spans="1:10" x14ac:dyDescent="0.25">
      <c r="A30" s="41">
        <v>24</v>
      </c>
      <c r="B30" s="24" t="s">
        <v>27</v>
      </c>
      <c r="C30" s="51">
        <f>18400000000+5900000000</f>
        <v>24300000000</v>
      </c>
      <c r="D30" s="51">
        <f>10500000000+3700000000</f>
        <v>14200000000</v>
      </c>
      <c r="E30" s="51">
        <f>9700000000+2200000000</f>
        <v>11900000000</v>
      </c>
      <c r="F30" s="51">
        <f>9200000000+1300000000</f>
        <v>10500000000</v>
      </c>
      <c r="G30" s="51"/>
      <c r="H30" s="51"/>
      <c r="I30" s="51"/>
      <c r="J30" s="51"/>
    </row>
    <row r="31" spans="1:10" x14ac:dyDescent="0.25">
      <c r="A31" s="41">
        <v>25</v>
      </c>
      <c r="B31" s="59" t="s">
        <v>28</v>
      </c>
      <c r="C31" s="51">
        <v>150000000</v>
      </c>
      <c r="D31" s="51">
        <v>150000000</v>
      </c>
      <c r="E31" s="51">
        <v>150000000</v>
      </c>
      <c r="F31" s="51">
        <v>150000000</v>
      </c>
      <c r="G31" s="51"/>
      <c r="H31" s="51"/>
      <c r="I31" s="51"/>
      <c r="J31" s="51"/>
    </row>
    <row r="32" spans="1:10" x14ac:dyDescent="0.25">
      <c r="A32" s="41">
        <v>26</v>
      </c>
      <c r="B32" s="24" t="s">
        <v>29</v>
      </c>
      <c r="C32" s="51">
        <v>180000000</v>
      </c>
      <c r="D32" s="51">
        <f>C32</f>
        <v>180000000</v>
      </c>
      <c r="E32" s="51">
        <v>200000000</v>
      </c>
      <c r="F32" s="51">
        <f>E32</f>
        <v>200000000</v>
      </c>
      <c r="G32" s="56"/>
      <c r="H32" s="56"/>
      <c r="I32" s="56"/>
      <c r="J32" s="56"/>
    </row>
    <row r="33" spans="1:10" x14ac:dyDescent="0.25">
      <c r="A33" s="41">
        <v>27</v>
      </c>
      <c r="B33" s="24" t="s">
        <v>30</v>
      </c>
      <c r="C33" s="51">
        <v>150000000</v>
      </c>
      <c r="D33" s="51">
        <f>C33</f>
        <v>150000000</v>
      </c>
      <c r="E33" s="51">
        <f>C33</f>
        <v>150000000</v>
      </c>
      <c r="F33" s="51">
        <f>E33</f>
        <v>150000000</v>
      </c>
      <c r="G33" s="56"/>
      <c r="H33" s="56"/>
      <c r="I33" s="56"/>
      <c r="J33" s="56"/>
    </row>
    <row r="34" spans="1:10" x14ac:dyDescent="0.25">
      <c r="A34" s="41">
        <v>28</v>
      </c>
      <c r="B34" s="24" t="s">
        <v>31</v>
      </c>
      <c r="C34" s="51">
        <v>536550000</v>
      </c>
      <c r="D34" s="51">
        <v>869200000</v>
      </c>
      <c r="E34" s="51">
        <f>549800000</f>
        <v>549800000</v>
      </c>
      <c r="F34" s="51">
        <v>582250000</v>
      </c>
      <c r="G34" s="56"/>
      <c r="H34" s="56"/>
      <c r="I34" s="56"/>
      <c r="J34" s="56"/>
    </row>
    <row r="35" spans="1:10" x14ac:dyDescent="0.25">
      <c r="A35" s="41">
        <v>29</v>
      </c>
      <c r="B35" s="24" t="s">
        <v>32</v>
      </c>
      <c r="C35" s="56"/>
      <c r="D35" s="56"/>
      <c r="E35" s="56"/>
      <c r="F35" s="56"/>
      <c r="G35" s="56"/>
      <c r="H35" s="56"/>
      <c r="I35" s="56"/>
      <c r="J35" s="56"/>
    </row>
    <row r="36" spans="1:10" x14ac:dyDescent="0.25">
      <c r="A36" s="41">
        <v>30</v>
      </c>
      <c r="B36" s="24" t="s">
        <v>33</v>
      </c>
      <c r="C36" s="51">
        <v>60000000</v>
      </c>
      <c r="D36" s="51">
        <v>160000000</v>
      </c>
      <c r="E36" s="51">
        <v>148000000</v>
      </c>
      <c r="F36" s="51">
        <v>158500000</v>
      </c>
      <c r="G36" s="51"/>
      <c r="H36" s="51"/>
      <c r="I36" s="51"/>
      <c r="J36" s="51"/>
    </row>
    <row r="37" spans="1:10" x14ac:dyDescent="0.25">
      <c r="A37" s="41">
        <v>31</v>
      </c>
      <c r="B37" s="24" t="s">
        <v>34</v>
      </c>
      <c r="C37" s="51"/>
      <c r="D37" s="51"/>
      <c r="E37" s="51"/>
      <c r="F37" s="51"/>
      <c r="G37" s="51"/>
      <c r="H37" s="51"/>
      <c r="I37" s="51"/>
      <c r="J37" s="51"/>
    </row>
    <row r="38" spans="1:10" x14ac:dyDescent="0.25">
      <c r="A38" s="41">
        <v>32</v>
      </c>
      <c r="B38" s="24" t="s">
        <v>35</v>
      </c>
      <c r="C38" s="51"/>
      <c r="D38" s="51"/>
      <c r="E38" s="51"/>
      <c r="F38" s="51"/>
      <c r="G38" s="51"/>
      <c r="H38" s="51"/>
      <c r="I38" s="51"/>
      <c r="J38" s="51"/>
    </row>
    <row r="39" spans="1:10" x14ac:dyDescent="0.25">
      <c r="A39" s="41">
        <v>33</v>
      </c>
      <c r="B39" s="24" t="s">
        <v>36</v>
      </c>
      <c r="C39" s="51">
        <v>244000000</v>
      </c>
      <c r="D39" s="51">
        <v>451146000</v>
      </c>
      <c r="E39" s="51">
        <v>430932000</v>
      </c>
      <c r="F39" s="51">
        <v>437000000</v>
      </c>
      <c r="G39" s="51"/>
      <c r="H39" s="51"/>
      <c r="I39" s="51"/>
      <c r="J39" s="51"/>
    </row>
    <row r="40" spans="1:10" x14ac:dyDescent="0.25">
      <c r="A40" s="41">
        <v>34</v>
      </c>
      <c r="B40" s="59" t="s">
        <v>37</v>
      </c>
      <c r="C40" s="51">
        <v>0</v>
      </c>
      <c r="D40" s="51">
        <v>70000000</v>
      </c>
      <c r="E40" s="51">
        <v>20000000</v>
      </c>
      <c r="F40" s="51">
        <v>245000000</v>
      </c>
      <c r="G40" s="51"/>
      <c r="H40" s="51"/>
      <c r="I40" s="51"/>
      <c r="J40" s="51"/>
    </row>
    <row r="41" spans="1:10" x14ac:dyDescent="0.25">
      <c r="A41" s="41">
        <v>35</v>
      </c>
      <c r="B41" s="24" t="s">
        <v>38</v>
      </c>
      <c r="C41" s="51"/>
      <c r="D41" s="51"/>
      <c r="E41" s="51"/>
      <c r="F41" s="51"/>
      <c r="G41" s="51"/>
      <c r="H41" s="51"/>
      <c r="I41" s="51"/>
      <c r="J41" s="51"/>
    </row>
    <row r="42" spans="1:10" x14ac:dyDescent="0.25">
      <c r="A42" s="41">
        <v>36</v>
      </c>
      <c r="B42" s="24" t="s">
        <v>39</v>
      </c>
      <c r="C42" s="51">
        <v>1968000000</v>
      </c>
      <c r="D42" s="51">
        <v>2070000000</v>
      </c>
      <c r="E42" s="51">
        <v>1964000000</v>
      </c>
      <c r="F42" s="51">
        <v>1311000000</v>
      </c>
      <c r="G42" s="51">
        <v>40000000</v>
      </c>
      <c r="H42" s="51">
        <v>50000000</v>
      </c>
      <c r="I42" s="51">
        <v>81200000</v>
      </c>
      <c r="J42" s="51">
        <v>91000000</v>
      </c>
    </row>
    <row r="43" spans="1:10" x14ac:dyDescent="0.25">
      <c r="A43" s="41">
        <v>37</v>
      </c>
      <c r="B43" s="24" t="s">
        <v>40</v>
      </c>
      <c r="C43" s="51">
        <f>405100000</f>
        <v>405100000</v>
      </c>
      <c r="D43" s="51">
        <f>184000000+1142136000</f>
        <v>1326136000</v>
      </c>
      <c r="E43" s="51">
        <f>193000000+998300000</f>
        <v>1191300000</v>
      </c>
      <c r="F43" s="51">
        <f>186000000+768100600</f>
        <v>954100600</v>
      </c>
      <c r="G43" s="51">
        <v>2900000</v>
      </c>
      <c r="H43" s="51"/>
      <c r="I43" s="51"/>
      <c r="J43" s="51"/>
    </row>
    <row r="44" spans="1:10" x14ac:dyDescent="0.25">
      <c r="A44" s="41">
        <v>38</v>
      </c>
      <c r="B44" s="24" t="s">
        <v>41</v>
      </c>
      <c r="C44" s="173" t="s">
        <v>141</v>
      </c>
      <c r="D44" s="174"/>
      <c r="E44" s="174"/>
      <c r="F44" s="174"/>
      <c r="G44" s="174"/>
      <c r="H44" s="175"/>
      <c r="I44" s="41"/>
      <c r="J44" s="41"/>
    </row>
    <row r="45" spans="1:10" x14ac:dyDescent="0.25">
      <c r="A45" s="41">
        <v>39</v>
      </c>
      <c r="B45" s="24" t="s">
        <v>42</v>
      </c>
      <c r="C45" s="51">
        <v>353500000</v>
      </c>
      <c r="D45" s="51">
        <f>C45</f>
        <v>353500000</v>
      </c>
      <c r="E45" s="51">
        <f>C45</f>
        <v>353500000</v>
      </c>
      <c r="F45" s="51">
        <f>359900000</f>
        <v>359900000</v>
      </c>
      <c r="G45" s="51"/>
      <c r="H45" s="51"/>
      <c r="I45" s="41"/>
      <c r="J45" s="41"/>
    </row>
    <row r="46" spans="1:10" x14ac:dyDescent="0.25">
      <c r="A46" s="41">
        <v>40</v>
      </c>
      <c r="B46" s="24" t="s">
        <v>43</v>
      </c>
      <c r="C46" s="170">
        <v>350000000</v>
      </c>
      <c r="D46" s="171"/>
      <c r="E46" s="171"/>
      <c r="F46" s="172"/>
      <c r="G46" s="80"/>
      <c r="H46" s="80"/>
      <c r="I46" s="81"/>
      <c r="J46" s="81"/>
    </row>
    <row r="47" spans="1:10" x14ac:dyDescent="0.25">
      <c r="A47" s="41">
        <v>41</v>
      </c>
      <c r="B47" s="59" t="s">
        <v>44</v>
      </c>
      <c r="C47" s="80"/>
      <c r="D47" s="80"/>
      <c r="E47" s="80"/>
      <c r="F47" s="80"/>
      <c r="G47" s="80"/>
      <c r="H47" s="80"/>
      <c r="I47" s="81"/>
      <c r="J47" s="81"/>
    </row>
    <row r="48" spans="1:10" x14ac:dyDescent="0.25">
      <c r="A48" s="41">
        <v>42</v>
      </c>
      <c r="B48" s="24" t="s">
        <v>45</v>
      </c>
      <c r="C48" s="80">
        <v>135000000</v>
      </c>
      <c r="D48" s="80">
        <f>C48</f>
        <v>135000000</v>
      </c>
      <c r="E48" s="80">
        <f>D48</f>
        <v>135000000</v>
      </c>
      <c r="F48" s="80">
        <f>E48</f>
        <v>135000000</v>
      </c>
      <c r="G48" s="80"/>
      <c r="H48" s="80"/>
      <c r="I48" s="81"/>
      <c r="J48" s="81"/>
    </row>
    <row r="49" spans="1:10" x14ac:dyDescent="0.25">
      <c r="A49" s="41">
        <v>43</v>
      </c>
      <c r="B49" s="24" t="s">
        <v>46</v>
      </c>
      <c r="C49" s="170" t="s">
        <v>140</v>
      </c>
      <c r="D49" s="171"/>
      <c r="E49" s="171"/>
      <c r="F49" s="172"/>
      <c r="G49" s="80"/>
      <c r="H49" s="80"/>
      <c r="I49" s="81"/>
      <c r="J49" s="81"/>
    </row>
    <row r="50" spans="1:10" x14ac:dyDescent="0.25">
      <c r="A50" s="41">
        <v>44</v>
      </c>
      <c r="B50" s="24" t="s">
        <v>47</v>
      </c>
      <c r="C50" s="80"/>
      <c r="D50" s="80"/>
      <c r="E50" s="80"/>
      <c r="F50" s="80"/>
      <c r="G50" s="80"/>
      <c r="H50" s="80"/>
      <c r="I50" s="80"/>
      <c r="J50" s="81"/>
    </row>
    <row r="51" spans="1:10" x14ac:dyDescent="0.25">
      <c r="A51" s="41">
        <v>45</v>
      </c>
      <c r="B51" s="24" t="s">
        <v>48</v>
      </c>
      <c r="C51" s="80">
        <v>601600000</v>
      </c>
      <c r="D51" s="80">
        <v>603620000</v>
      </c>
      <c r="E51" s="80">
        <v>664450000</v>
      </c>
      <c r="F51" s="80">
        <v>659200000</v>
      </c>
      <c r="G51" s="80"/>
      <c r="H51" s="80"/>
      <c r="I51" s="80"/>
      <c r="J51" s="81"/>
    </row>
    <row r="52" spans="1:10" x14ac:dyDescent="0.25">
      <c r="A52" s="41">
        <v>46</v>
      </c>
      <c r="B52" s="24" t="s">
        <v>49</v>
      </c>
      <c r="C52" s="80">
        <v>342560000</v>
      </c>
      <c r="D52" s="80">
        <v>331680000</v>
      </c>
      <c r="E52" s="80">
        <v>289756000</v>
      </c>
      <c r="F52" s="80">
        <v>432840000</v>
      </c>
      <c r="G52" s="80">
        <v>0</v>
      </c>
      <c r="H52" s="80">
        <v>0</v>
      </c>
      <c r="I52" s="80">
        <v>0</v>
      </c>
      <c r="J52" s="81">
        <v>0</v>
      </c>
    </row>
    <row r="53" spans="1:10" x14ac:dyDescent="0.25">
      <c r="A53" s="41">
        <v>47</v>
      </c>
      <c r="B53" s="24" t="s">
        <v>50</v>
      </c>
      <c r="C53" s="80">
        <v>622895000</v>
      </c>
      <c r="D53" s="80">
        <v>677740000</v>
      </c>
      <c r="E53" s="80">
        <v>607660000</v>
      </c>
      <c r="F53" s="80">
        <v>283800000</v>
      </c>
      <c r="G53" s="80"/>
      <c r="H53" s="80"/>
      <c r="I53" s="80"/>
      <c r="J53" s="81"/>
    </row>
    <row r="54" spans="1:10" x14ac:dyDescent="0.25">
      <c r="A54" s="41">
        <v>48</v>
      </c>
      <c r="B54" s="24" t="s">
        <v>51</v>
      </c>
      <c r="C54" s="51">
        <v>520000000</v>
      </c>
      <c r="D54" s="51">
        <v>780000000</v>
      </c>
      <c r="E54" s="51">
        <v>650000000</v>
      </c>
      <c r="F54" s="51">
        <v>668200000</v>
      </c>
      <c r="G54" s="51"/>
      <c r="H54" s="51"/>
      <c r="I54" s="51"/>
      <c r="J54" s="41"/>
    </row>
    <row r="55" spans="1:10" x14ac:dyDescent="0.25">
      <c r="A55" s="41">
        <v>49</v>
      </c>
      <c r="B55" s="24" t="s">
        <v>52</v>
      </c>
      <c r="C55" s="51">
        <f>45000000+199649000</f>
        <v>244649000</v>
      </c>
      <c r="D55" s="51">
        <f>45000000+409680000</f>
        <v>454680000</v>
      </c>
      <c r="E55" s="51">
        <f>45000000+255350000</f>
        <v>300350000</v>
      </c>
      <c r="F55" s="51">
        <f>40000000+247800000</f>
        <v>287800000</v>
      </c>
      <c r="G55" s="51"/>
      <c r="H55" s="51"/>
      <c r="I55" s="51"/>
      <c r="J55" s="41"/>
    </row>
    <row r="56" spans="1:10" x14ac:dyDescent="0.25">
      <c r="A56" s="41">
        <v>50</v>
      </c>
      <c r="B56" s="24" t="s">
        <v>53</v>
      </c>
      <c r="C56" s="51">
        <v>380000000</v>
      </c>
      <c r="D56" s="51">
        <v>330000000</v>
      </c>
      <c r="E56" s="51">
        <v>360000000</v>
      </c>
      <c r="F56" s="51">
        <v>390000000</v>
      </c>
      <c r="G56" s="51"/>
      <c r="H56" s="51"/>
      <c r="I56" s="51"/>
      <c r="J56" s="41"/>
    </row>
    <row r="57" spans="1:10" x14ac:dyDescent="0.25">
      <c r="A57" s="41">
        <v>51</v>
      </c>
      <c r="B57" s="24" t="s">
        <v>54</v>
      </c>
      <c r="C57" s="51">
        <v>1422896000</v>
      </c>
      <c r="D57" s="51">
        <v>1286725000</v>
      </c>
      <c r="E57" s="51">
        <v>1565395000</v>
      </c>
      <c r="F57" s="51">
        <v>1839435000</v>
      </c>
      <c r="G57" s="51"/>
      <c r="H57" s="51"/>
      <c r="I57" s="51"/>
      <c r="J57" s="41"/>
    </row>
    <row r="58" spans="1:10" x14ac:dyDescent="0.25">
      <c r="A58" s="41">
        <v>52</v>
      </c>
      <c r="B58" s="24" t="s">
        <v>55</v>
      </c>
      <c r="C58" s="51">
        <v>479950000</v>
      </c>
      <c r="D58" s="51">
        <v>539010000</v>
      </c>
      <c r="E58" s="51">
        <v>610604000</v>
      </c>
      <c r="F58" s="51">
        <v>639150000</v>
      </c>
      <c r="G58" s="51">
        <v>1500000</v>
      </c>
      <c r="H58" s="51">
        <v>5500000</v>
      </c>
      <c r="I58" s="51">
        <v>14000000</v>
      </c>
      <c r="J58" s="41">
        <v>9500000</v>
      </c>
    </row>
    <row r="59" spans="1:10" x14ac:dyDescent="0.25">
      <c r="A59" s="41">
        <v>53</v>
      </c>
      <c r="B59" s="59" t="s">
        <v>56</v>
      </c>
      <c r="C59" s="176">
        <v>260000000</v>
      </c>
      <c r="D59" s="177"/>
      <c r="E59" s="177"/>
      <c r="F59" s="178"/>
      <c r="G59" s="51"/>
      <c r="H59" s="51"/>
      <c r="I59" s="51"/>
      <c r="J59" s="41"/>
    </row>
    <row r="60" spans="1:10" x14ac:dyDescent="0.25">
      <c r="A60" s="41">
        <v>54</v>
      </c>
      <c r="B60" s="24" t="s">
        <v>57</v>
      </c>
      <c r="C60" s="51"/>
      <c r="D60" s="51"/>
      <c r="E60" s="51"/>
      <c r="F60" s="51"/>
      <c r="G60" s="51"/>
      <c r="H60" s="51"/>
      <c r="I60" s="51"/>
      <c r="J60" s="41"/>
    </row>
    <row r="61" spans="1:10" x14ac:dyDescent="0.25">
      <c r="A61" s="41">
        <v>55</v>
      </c>
      <c r="B61" s="24" t="s">
        <v>58</v>
      </c>
      <c r="C61" s="51">
        <v>420000000</v>
      </c>
      <c r="D61" s="51">
        <f>C61</f>
        <v>420000000</v>
      </c>
      <c r="E61" s="51">
        <f>D61</f>
        <v>420000000</v>
      </c>
      <c r="F61" s="51">
        <f>E61</f>
        <v>420000000</v>
      </c>
      <c r="G61" s="51"/>
      <c r="H61" s="51"/>
      <c r="I61" s="51"/>
      <c r="J61" s="41"/>
    </row>
    <row r="62" spans="1:10" x14ac:dyDescent="0.25">
      <c r="A62" s="41">
        <v>56</v>
      </c>
      <c r="B62" s="24" t="s">
        <v>59</v>
      </c>
      <c r="D62" s="51">
        <v>110000000</v>
      </c>
      <c r="E62" s="51">
        <v>110000000</v>
      </c>
      <c r="F62" s="51">
        <v>110000000</v>
      </c>
      <c r="G62" s="51"/>
      <c r="H62" s="51"/>
      <c r="I62" s="51"/>
      <c r="J62" s="41"/>
    </row>
    <row r="63" spans="1:10" x14ac:dyDescent="0.25">
      <c r="A63" s="41">
        <v>57</v>
      </c>
      <c r="B63" s="24" t="s">
        <v>60</v>
      </c>
      <c r="C63" s="51">
        <v>686951000</v>
      </c>
      <c r="D63" s="51">
        <v>690340000</v>
      </c>
      <c r="E63" s="51">
        <v>366286000</v>
      </c>
      <c r="F63" s="51">
        <v>341940000</v>
      </c>
      <c r="G63" s="51"/>
      <c r="H63" s="51"/>
      <c r="I63" s="51"/>
      <c r="J63" s="41"/>
    </row>
    <row r="64" spans="1:10" x14ac:dyDescent="0.25">
      <c r="A64" s="41">
        <v>58</v>
      </c>
      <c r="B64" s="24" t="s">
        <v>61</v>
      </c>
      <c r="C64" s="51">
        <v>1806244000</v>
      </c>
      <c r="D64" s="51">
        <v>2174667411</v>
      </c>
      <c r="E64" s="51">
        <v>1708148280</v>
      </c>
      <c r="F64" s="51">
        <v>1889432274</v>
      </c>
      <c r="G64" s="51">
        <v>22750000</v>
      </c>
      <c r="H64" s="51">
        <v>40960000</v>
      </c>
      <c r="I64" s="51">
        <v>15200000</v>
      </c>
      <c r="J64" s="41">
        <v>129240000</v>
      </c>
    </row>
    <row r="65" spans="1:12" x14ac:dyDescent="0.25">
      <c r="A65" s="41">
        <v>59</v>
      </c>
      <c r="B65" s="24" t="s">
        <v>62</v>
      </c>
      <c r="C65" s="51">
        <v>327450000</v>
      </c>
      <c r="D65" s="51">
        <v>892350000</v>
      </c>
      <c r="E65" s="51">
        <v>698300000</v>
      </c>
      <c r="F65" s="51">
        <v>580600000</v>
      </c>
      <c r="G65" s="51"/>
      <c r="H65" s="51"/>
      <c r="I65" s="51"/>
      <c r="J65" s="41"/>
    </row>
    <row r="66" spans="1:12" x14ac:dyDescent="0.25">
      <c r="A66" s="41">
        <v>60</v>
      </c>
      <c r="B66" s="24" t="s">
        <v>63</v>
      </c>
      <c r="C66" s="51">
        <v>3611012000</v>
      </c>
      <c r="D66" s="51">
        <v>3598346000</v>
      </c>
      <c r="E66" s="51">
        <v>3689295000</v>
      </c>
      <c r="F66" s="51">
        <v>3009455000</v>
      </c>
      <c r="G66" s="51"/>
      <c r="H66" s="51"/>
      <c r="I66" s="51"/>
      <c r="J66" s="41"/>
    </row>
    <row r="67" spans="1:12" x14ac:dyDescent="0.25">
      <c r="A67" s="41">
        <v>61</v>
      </c>
      <c r="B67" s="59" t="s">
        <v>64</v>
      </c>
      <c r="C67" s="51">
        <v>688924000</v>
      </c>
      <c r="D67" s="51">
        <v>904820000</v>
      </c>
      <c r="E67" s="51">
        <v>1210420000</v>
      </c>
      <c r="F67" s="51">
        <v>1181210000</v>
      </c>
      <c r="G67" s="51"/>
      <c r="H67" s="51"/>
      <c r="I67" s="51"/>
      <c r="J67" s="41"/>
    </row>
    <row r="68" spans="1:12" x14ac:dyDescent="0.25">
      <c r="A68" s="41">
        <v>62</v>
      </c>
      <c r="B68" s="24" t="s">
        <v>65</v>
      </c>
      <c r="C68" s="51">
        <v>60000000</v>
      </c>
      <c r="D68" s="51">
        <f>C68</f>
        <v>60000000</v>
      </c>
      <c r="E68" s="51">
        <f>420000000</f>
        <v>420000000</v>
      </c>
      <c r="F68" s="51">
        <v>300000000</v>
      </c>
      <c r="G68" s="51"/>
      <c r="H68" s="51"/>
      <c r="I68" s="51"/>
      <c r="J68" s="41"/>
      <c r="L68" s="57"/>
    </row>
    <row r="69" spans="1:12" x14ac:dyDescent="0.25">
      <c r="A69" s="88">
        <v>63</v>
      </c>
      <c r="B69" s="89" t="s">
        <v>66</v>
      </c>
      <c r="C69" s="90">
        <v>903840000</v>
      </c>
      <c r="D69" s="90">
        <v>944520000</v>
      </c>
      <c r="E69" s="90">
        <v>940440000</v>
      </c>
      <c r="F69" s="90">
        <v>1005120000</v>
      </c>
      <c r="G69" s="90"/>
      <c r="H69" s="90"/>
      <c r="I69" s="90"/>
      <c r="J69" s="88"/>
      <c r="L69" s="57"/>
    </row>
    <row r="70" spans="1:12" x14ac:dyDescent="0.25">
      <c r="A70" s="41"/>
      <c r="B70" s="91" t="s">
        <v>149</v>
      </c>
      <c r="C70" s="51">
        <f>SUM(C7:C69)</f>
        <v>56196048000</v>
      </c>
      <c r="D70" s="51">
        <f>SUM(D7:D69)</f>
        <v>44741575311</v>
      </c>
      <c r="E70" s="51">
        <f t="shared" ref="E70:J70" si="0">SUM(E7:E69)</f>
        <v>41765178280</v>
      </c>
      <c r="F70" s="51">
        <f>SUM(F7:F69)</f>
        <v>40305934874</v>
      </c>
      <c r="G70" s="51">
        <f t="shared" si="0"/>
        <v>86550000</v>
      </c>
      <c r="H70" s="51">
        <f t="shared" si="0"/>
        <v>106760000</v>
      </c>
      <c r="I70" s="51">
        <f t="shared" si="0"/>
        <v>113100000</v>
      </c>
      <c r="J70" s="51">
        <f t="shared" si="0"/>
        <v>292140000</v>
      </c>
      <c r="K70" s="41"/>
      <c r="L70" s="57"/>
    </row>
  </sheetData>
  <mergeCells count="14">
    <mergeCell ref="C59:F59"/>
    <mergeCell ref="C46:F46"/>
    <mergeCell ref="A4:A5"/>
    <mergeCell ref="C5:F5"/>
    <mergeCell ref="G5:J5"/>
    <mergeCell ref="C4:J4"/>
    <mergeCell ref="H3:J3"/>
    <mergeCell ref="C49:F49"/>
    <mergeCell ref="C44:H44"/>
    <mergeCell ref="C8:F8"/>
    <mergeCell ref="B2:D2"/>
    <mergeCell ref="B4:B5"/>
    <mergeCell ref="C15:F15"/>
    <mergeCell ref="C17:F17"/>
  </mergeCells>
  <pageMargins left="0.7" right="0.7" top="0.75" bottom="0.75" header="0.3" footer="0.3"/>
  <pageSetup orientation="landscape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FPT</cp:lastModifiedBy>
  <cp:lastPrinted>2023-02-08T07:54:46Z</cp:lastPrinted>
  <dcterms:created xsi:type="dcterms:W3CDTF">2018-11-20T09:51:28Z</dcterms:created>
  <dcterms:modified xsi:type="dcterms:W3CDTF">2023-03-15T04:23:27Z</dcterms:modified>
</cp:coreProperties>
</file>